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özbeszGuru Kft\A közbeszerzési ügyfelek\XVIII. kerület\Brenner János park fejlesztése-I. ütem\AF, KD\Előkészítés\Műszaki leírás\"/>
    </mc:Choice>
  </mc:AlternateContent>
  <bookViews>
    <workbookView xWindow="0" yWindow="360" windowWidth="20730" windowHeight="10935" activeTab="5"/>
  </bookViews>
  <sheets>
    <sheet name="összesítő" sheetId="6" r:id="rId1"/>
    <sheet name="KIV_körny_I_Ütem" sheetId="5" r:id="rId2"/>
    <sheet name="ELETROMOS" sheetId="16" r:id="rId3"/>
    <sheet name="VÍZ" sheetId="10" r:id="rId4"/>
    <sheet name="STÉG" sheetId="9" r:id="rId5"/>
    <sheet name="Terv._Növ_I_ütem" sheetId="2" r:id="rId6"/>
  </sheets>
  <definedNames>
    <definedName name="_xlnm.Print_Titles" localSheetId="3">VÍZ!$20:$20</definedName>
    <definedName name="_xlnm.Print_Area" localSheetId="1">KIV_körny_I_Ütem!$A$1:$H$155</definedName>
    <definedName name="_xlnm.Print_Area" localSheetId="4">STÉG!$A$1:$H$63</definedName>
    <definedName name="_xlnm.Print_Area" localSheetId="5">Terv._Növ_I_ütem!$A$1:$J$63</definedName>
  </definedNames>
  <calcPr calcId="162913"/>
</workbook>
</file>

<file path=xl/calcChain.xml><?xml version="1.0" encoding="utf-8"?>
<calcChain xmlns="http://schemas.openxmlformats.org/spreadsheetml/2006/main">
  <c r="A12" i="10" l="1"/>
  <c r="A11" i="10"/>
  <c r="A10" i="10"/>
  <c r="A9" i="10"/>
  <c r="H144" i="5"/>
  <c r="G144" i="5"/>
  <c r="H143" i="5"/>
  <c r="G143" i="5"/>
  <c r="H142" i="5"/>
  <c r="G142" i="5"/>
  <c r="H131" i="5"/>
  <c r="B69" i="16"/>
  <c r="H68" i="16"/>
  <c r="G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H69" i="16" s="1"/>
  <c r="H18" i="16" s="1"/>
  <c r="G61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G54" i="16" s="1"/>
  <c r="G16" i="16" s="1"/>
  <c r="A17" i="16"/>
  <c r="A15" i="16"/>
  <c r="G69" i="16" l="1"/>
  <c r="G18" i="16" s="1"/>
  <c r="G19" i="16"/>
  <c r="D9" i="6" s="1"/>
  <c r="H54" i="16"/>
  <c r="H16" i="16" s="1"/>
  <c r="H19" i="16" s="1"/>
  <c r="E9" i="6" s="1"/>
  <c r="G20" i="16"/>
  <c r="G21" i="16" s="1"/>
  <c r="H20" i="16" l="1"/>
  <c r="H21" i="16" s="1"/>
  <c r="J11" i="2" l="1"/>
  <c r="J10" i="2"/>
  <c r="J18" i="2"/>
  <c r="G42" i="10"/>
  <c r="H42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7" i="10"/>
  <c r="H57" i="10"/>
  <c r="G59" i="10"/>
  <c r="H59" i="10"/>
  <c r="H25" i="10"/>
  <c r="G25" i="10"/>
  <c r="H146" i="5"/>
  <c r="E12" i="5" s="1"/>
  <c r="G146" i="5"/>
  <c r="D12" i="5" s="1"/>
  <c r="H136" i="5"/>
  <c r="G136" i="5"/>
  <c r="H134" i="5"/>
  <c r="H133" i="5"/>
  <c r="H132" i="5"/>
  <c r="G132" i="5"/>
  <c r="F62" i="2" l="1"/>
  <c r="J62" i="2" s="1"/>
  <c r="F61" i="2"/>
  <c r="J61" i="2" s="1"/>
  <c r="F60" i="2"/>
  <c r="J60" i="2" s="1"/>
  <c r="F59" i="2"/>
  <c r="J59" i="2" s="1"/>
  <c r="F58" i="2"/>
  <c r="J58" i="2" s="1"/>
  <c r="F57" i="2"/>
  <c r="J57" i="2" s="1"/>
  <c r="F56" i="2"/>
  <c r="J56" i="2" s="1"/>
  <c r="J55" i="2"/>
  <c r="F55" i="2"/>
  <c r="J49" i="2"/>
  <c r="J48" i="2"/>
  <c r="F47" i="2"/>
  <c r="J47" i="2" s="1"/>
  <c r="J46" i="2"/>
  <c r="J45" i="2"/>
  <c r="J44" i="2"/>
  <c r="J63" i="2" l="1"/>
  <c r="E135" i="5" s="1"/>
  <c r="J50" i="2"/>
  <c r="E134" i="5" s="1"/>
  <c r="G134" i="5" s="1"/>
  <c r="F50" i="2"/>
  <c r="C66" i="10" l="1"/>
  <c r="A65" i="10"/>
  <c r="A66" i="10" s="1"/>
  <c r="C61" i="10"/>
  <c r="C60" i="10"/>
  <c r="C58" i="10"/>
  <c r="C46" i="10"/>
  <c r="C45" i="10"/>
  <c r="C44" i="10"/>
  <c r="A42" i="10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C41" i="10"/>
  <c r="A31" i="10"/>
  <c r="A32" i="10" s="1"/>
  <c r="A33" i="10" s="1"/>
  <c r="A34" i="10" s="1"/>
  <c r="A35" i="10" s="1"/>
  <c r="A36" i="10" s="1"/>
  <c r="A37" i="10" s="1"/>
  <c r="A38" i="10" s="1"/>
  <c r="C24" i="10"/>
  <c r="C23" i="10"/>
  <c r="A23" i="10"/>
  <c r="A24" i="10" s="1"/>
  <c r="A25" i="10" s="1"/>
  <c r="A26" i="10" s="1"/>
  <c r="G66" i="10" l="1"/>
  <c r="H66" i="10"/>
  <c r="G24" i="10"/>
  <c r="H24" i="10"/>
  <c r="G58" i="10"/>
  <c r="H58" i="10"/>
  <c r="H41" i="10"/>
  <c r="G41" i="10"/>
  <c r="G46" i="10"/>
  <c r="H46" i="10"/>
  <c r="H23" i="10"/>
  <c r="G23" i="10"/>
  <c r="H45" i="10"/>
  <c r="G45" i="10"/>
  <c r="H61" i="10"/>
  <c r="G61" i="10"/>
  <c r="G44" i="10"/>
  <c r="H44" i="10"/>
  <c r="G60" i="10"/>
  <c r="H60" i="10"/>
  <c r="C64" i="10"/>
  <c r="C43" i="10"/>
  <c r="C32" i="10" s="1"/>
  <c r="C65" i="10"/>
  <c r="C26" i="10"/>
  <c r="H64" i="10" l="1"/>
  <c r="G64" i="10"/>
  <c r="G65" i="10"/>
  <c r="H65" i="10"/>
  <c r="H32" i="10"/>
  <c r="G32" i="10"/>
  <c r="H43" i="10"/>
  <c r="G43" i="10"/>
  <c r="H26" i="10"/>
  <c r="G26" i="10"/>
  <c r="C56" i="10"/>
  <c r="C36" i="10"/>
  <c r="C31" i="10"/>
  <c r="C22" i="10"/>
  <c r="C37" i="10"/>
  <c r="C30" i="10"/>
  <c r="H12" i="10" l="1"/>
  <c r="G12" i="10"/>
  <c r="G30" i="10"/>
  <c r="H30" i="10"/>
  <c r="G36" i="10"/>
  <c r="H36" i="10"/>
  <c r="H31" i="10"/>
  <c r="G31" i="10"/>
  <c r="H22" i="10"/>
  <c r="H9" i="10" s="1"/>
  <c r="G22" i="10"/>
  <c r="G9" i="10" s="1"/>
  <c r="H37" i="10"/>
  <c r="G37" i="10"/>
  <c r="G56" i="10"/>
  <c r="G11" i="10" s="1"/>
  <c r="H56" i="10"/>
  <c r="H11" i="10" s="1"/>
  <c r="C33" i="10"/>
  <c r="C38" i="10"/>
  <c r="C34" i="10"/>
  <c r="C35" i="10"/>
  <c r="G35" i="10" l="1"/>
  <c r="H35" i="10"/>
  <c r="H33" i="10"/>
  <c r="H10" i="10" s="1"/>
  <c r="H13" i="10" s="1"/>
  <c r="G33" i="10"/>
  <c r="H38" i="10"/>
  <c r="G38" i="10"/>
  <c r="G34" i="10"/>
  <c r="H34" i="10"/>
  <c r="B62" i="9"/>
  <c r="H61" i="9"/>
  <c r="G61" i="9"/>
  <c r="H60" i="9"/>
  <c r="G60" i="9"/>
  <c r="H59" i="9"/>
  <c r="G59" i="9"/>
  <c r="B52" i="9"/>
  <c r="H51" i="9"/>
  <c r="H52" i="9" s="1"/>
  <c r="H18" i="9" s="1"/>
  <c r="G51" i="9"/>
  <c r="G52" i="9" s="1"/>
  <c r="G18" i="9" s="1"/>
  <c r="H50" i="9"/>
  <c r="G50" i="9"/>
  <c r="B47" i="9"/>
  <c r="H46" i="9"/>
  <c r="G46" i="9"/>
  <c r="H45" i="9"/>
  <c r="G45" i="9"/>
  <c r="G47" i="9" s="1"/>
  <c r="G17" i="9" s="1"/>
  <c r="B20" i="9"/>
  <c r="A19" i="9"/>
  <c r="B18" i="9"/>
  <c r="B17" i="9"/>
  <c r="A16" i="9"/>
  <c r="H14" i="10" l="1"/>
  <c r="H15" i="10"/>
  <c r="G10" i="10"/>
  <c r="G13" i="10" s="1"/>
  <c r="G70" i="10"/>
  <c r="D10" i="6" s="1"/>
  <c r="H70" i="10"/>
  <c r="E10" i="6" s="1"/>
  <c r="H62" i="9"/>
  <c r="H20" i="9" s="1"/>
  <c r="G62" i="9"/>
  <c r="G20" i="9" s="1"/>
  <c r="G21" i="9" s="1"/>
  <c r="H47" i="9"/>
  <c r="H17" i="9" s="1"/>
  <c r="G14" i="10" l="1"/>
  <c r="G15" i="10"/>
  <c r="G23" i="9"/>
  <c r="D11" i="6"/>
  <c r="G22" i="9"/>
  <c r="H21" i="9"/>
  <c r="C135" i="5"/>
  <c r="C81" i="5"/>
  <c r="H22" i="9" l="1"/>
  <c r="H23" i="9" s="1"/>
  <c r="E11" i="6"/>
  <c r="G135" i="5"/>
  <c r="H135" i="5"/>
  <c r="C110" i="5"/>
  <c r="C137" i="5" l="1"/>
  <c r="H137" i="5" s="1"/>
  <c r="C66" i="5" l="1"/>
  <c r="G93" i="5" l="1"/>
  <c r="H93" i="5"/>
  <c r="C111" i="5"/>
  <c r="H111" i="5" l="1"/>
  <c r="G111" i="5"/>
  <c r="H106" i="5" l="1"/>
  <c r="G106" i="5"/>
  <c r="H96" i="5"/>
  <c r="G96" i="5"/>
  <c r="H85" i="5"/>
  <c r="G85" i="5"/>
  <c r="H107" i="5"/>
  <c r="G107" i="5"/>
  <c r="C34" i="5"/>
  <c r="H34" i="5" s="1"/>
  <c r="G34" i="5" l="1"/>
  <c r="C32" i="5" l="1"/>
  <c r="H42" i="5"/>
  <c r="G42" i="5"/>
  <c r="H110" i="5" l="1"/>
  <c r="H112" i="5"/>
  <c r="G112" i="5"/>
  <c r="G110" i="5"/>
  <c r="H44" i="5"/>
  <c r="G44" i="5"/>
  <c r="H46" i="5" l="1"/>
  <c r="G46" i="5"/>
  <c r="J12" i="2" l="1"/>
  <c r="J13" i="2"/>
  <c r="J14" i="2"/>
  <c r="J16" i="2"/>
  <c r="J17" i="2"/>
  <c r="J19" i="2"/>
  <c r="J20" i="2"/>
  <c r="J21" i="2"/>
  <c r="J22" i="2"/>
  <c r="J15" i="2"/>
  <c r="J23" i="2"/>
  <c r="J24" i="2"/>
  <c r="C67" i="5"/>
  <c r="C65" i="5" s="1"/>
  <c r="F35" i="2"/>
  <c r="F32" i="2"/>
  <c r="F34" i="2"/>
  <c r="C33" i="5"/>
  <c r="H97" i="5"/>
  <c r="G97" i="5"/>
  <c r="H89" i="5"/>
  <c r="G89" i="5"/>
  <c r="H86" i="5"/>
  <c r="G86" i="5"/>
  <c r="G77" i="5"/>
  <c r="H77" i="5"/>
  <c r="C74" i="5"/>
  <c r="H74" i="5" s="1"/>
  <c r="H75" i="5"/>
  <c r="H80" i="5"/>
  <c r="G80" i="5"/>
  <c r="J25" i="2" l="1"/>
  <c r="E131" i="5" s="1"/>
  <c r="G131" i="5" s="1"/>
  <c r="G74" i="5"/>
  <c r="G75" i="5"/>
  <c r="H103" i="5"/>
  <c r="G103" i="5"/>
  <c r="H76" i="5" l="1"/>
  <c r="H47" i="5"/>
  <c r="G47" i="5"/>
  <c r="H126" i="5"/>
  <c r="G126" i="5"/>
  <c r="G76" i="5" l="1"/>
  <c r="H48" i="5"/>
  <c r="G48" i="5"/>
  <c r="H39" i="5"/>
  <c r="G39" i="5"/>
  <c r="H38" i="5"/>
  <c r="G38" i="5"/>
  <c r="G123" i="5"/>
  <c r="H123" i="5"/>
  <c r="F38" i="2" l="1"/>
  <c r="F37" i="2"/>
  <c r="F36" i="2"/>
  <c r="F33" i="2"/>
  <c r="F39" i="2" l="1"/>
  <c r="H45" i="5"/>
  <c r="G102" i="5"/>
  <c r="H102" i="5"/>
  <c r="G92" i="5"/>
  <c r="H92" i="5"/>
  <c r="G101" i="5"/>
  <c r="H101" i="5"/>
  <c r="G100" i="5"/>
  <c r="H100" i="5"/>
  <c r="G45" i="5" l="1"/>
  <c r="J34" i="2"/>
  <c r="J32" i="2"/>
  <c r="J38" i="2"/>
  <c r="J37" i="2"/>
  <c r="J33" i="2"/>
  <c r="J35" i="2"/>
  <c r="J36" i="2"/>
  <c r="J39" i="2" l="1"/>
  <c r="E133" i="5" s="1"/>
  <c r="G125" i="5"/>
  <c r="H125" i="5"/>
  <c r="G133" i="5" l="1"/>
  <c r="H43" i="5" l="1"/>
  <c r="G43" i="5"/>
  <c r="E25" i="2" l="1"/>
  <c r="C64" i="5" l="1"/>
  <c r="H67" i="5" l="1"/>
  <c r="G137" i="5"/>
  <c r="G122" i="5"/>
  <c r="H122" i="5"/>
  <c r="G124" i="5"/>
  <c r="H124" i="5"/>
  <c r="G121" i="5"/>
  <c r="H121" i="5"/>
  <c r="H120" i="5"/>
  <c r="G120" i="5"/>
  <c r="H81" i="5"/>
  <c r="G81" i="5"/>
  <c r="G66" i="5"/>
  <c r="G65" i="5"/>
  <c r="C138" i="5"/>
  <c r="H138" i="5" s="1"/>
  <c r="H139" i="5" s="1"/>
  <c r="E11" i="5" s="1"/>
  <c r="H41" i="5"/>
  <c r="G41" i="5"/>
  <c r="H40" i="5"/>
  <c r="G40" i="5"/>
  <c r="H37" i="5"/>
  <c r="G37" i="5"/>
  <c r="H36" i="5"/>
  <c r="G36" i="5"/>
  <c r="C35" i="5"/>
  <c r="G33" i="5"/>
  <c r="H32" i="5"/>
  <c r="A29" i="5"/>
  <c r="A28" i="5"/>
  <c r="A27" i="5"/>
  <c r="A26" i="5"/>
  <c r="G128" i="5" l="1"/>
  <c r="D10" i="5" s="1"/>
  <c r="H128" i="5"/>
  <c r="E10" i="5" s="1"/>
  <c r="H35" i="5"/>
  <c r="G35" i="5"/>
  <c r="H33" i="5"/>
  <c r="H50" i="5" s="1"/>
  <c r="G138" i="5"/>
  <c r="G67" i="5"/>
  <c r="H65" i="5"/>
  <c r="H66" i="5"/>
  <c r="G32" i="5"/>
  <c r="G50" i="5" s="1"/>
  <c r="D8" i="5" l="1"/>
  <c r="E8" i="5"/>
  <c r="H64" i="5"/>
  <c r="H116" i="5" s="1"/>
  <c r="E9" i="5" s="1"/>
  <c r="G64" i="5"/>
  <c r="G116" i="5" s="1"/>
  <c r="D9" i="5" s="1"/>
  <c r="E13" i="5" l="1"/>
  <c r="E8" i="6"/>
  <c r="E12" i="6" s="1"/>
  <c r="H148" i="5"/>
  <c r="G139" i="5" l="1"/>
  <c r="G148" i="5" l="1"/>
  <c r="G149" i="5" s="1"/>
  <c r="D11" i="5"/>
  <c r="G151" i="5" l="1"/>
  <c r="E16" i="5" s="1"/>
  <c r="D8" i="6"/>
  <c r="D12" i="6" s="1"/>
  <c r="E13" i="6" s="1"/>
  <c r="E14" i="6" s="1"/>
  <c r="D13" i="5"/>
  <c r="E14" i="5" s="1"/>
  <c r="G150" i="5" l="1"/>
  <c r="E15" i="5" s="1"/>
</calcChain>
</file>

<file path=xl/comments1.xml><?xml version="1.0" encoding="utf-8"?>
<comments xmlns="http://schemas.openxmlformats.org/spreadsheetml/2006/main">
  <authors>
    <author>Jack</author>
  </authors>
  <commentList>
    <comment ref="E131" authorId="0" shapeId="0">
      <text>
        <r>
          <rPr>
            <sz val="9"/>
            <color indexed="81"/>
            <rFont val="Tahoma"/>
            <family val="2"/>
            <charset val="238"/>
          </rPr>
          <t xml:space="preserve">Árazás: Terv._Növ fül
(számítás: darabszám összesített értéke)
</t>
        </r>
      </text>
    </comment>
    <comment ref="E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Árazás: Terv_Növ fül (számítás: darabszám összérték/tervezett össz m2)
</t>
        </r>
      </text>
    </comment>
    <comment ref="E134" authorId="0" shapeId="0">
      <text>
        <r>
          <rPr>
            <sz val="9"/>
            <color indexed="81"/>
            <rFont val="Tahoma"/>
            <family val="2"/>
            <charset val="238"/>
          </rPr>
          <t>Árazás: Terv_Növ fül (számítás: darabszám összérték/tervezett össz m2)</t>
        </r>
      </text>
    </comment>
    <comment ref="E135" authorId="0" shapeId="0">
      <text>
        <r>
          <rPr>
            <sz val="9"/>
            <color indexed="81"/>
            <rFont val="Tahoma"/>
            <family val="2"/>
            <charset val="238"/>
          </rPr>
          <t xml:space="preserve">Árazás: Terv_Növ fül (számítás: darabszám összérték/tervezett össz m2)
</t>
        </r>
      </text>
    </comment>
  </commentList>
</comments>
</file>

<file path=xl/sharedStrings.xml><?xml version="1.0" encoding="utf-8"?>
<sst xmlns="http://schemas.openxmlformats.org/spreadsheetml/2006/main" count="782" uniqueCount="442">
  <si>
    <t>T41-16P</t>
  </si>
  <si>
    <t>I.</t>
  </si>
  <si>
    <t>II.</t>
  </si>
  <si>
    <t>III.</t>
  </si>
  <si>
    <t>IV.</t>
  </si>
  <si>
    <t>MINDÖSSZESEN NETTÓ:</t>
  </si>
  <si>
    <t>ÁFA (27%)</t>
  </si>
  <si>
    <t>MINDÖSSZESEN BRUTTÓ</t>
  </si>
  <si>
    <t>Sorsz</t>
  </si>
  <si>
    <t>Megnevezés</t>
  </si>
  <si>
    <t>Mennyiség</t>
  </si>
  <si>
    <t>Egység</t>
  </si>
  <si>
    <t>Egységár anyag
(nettó)</t>
  </si>
  <si>
    <t>Egységár munkadíj
(nettó)</t>
  </si>
  <si>
    <t>Összesen 
anyagdíj
(nettó)</t>
  </si>
  <si>
    <t>Összesen 
munkadíj
(nettó)</t>
  </si>
  <si>
    <t xml:space="preserve">I.  </t>
  </si>
  <si>
    <t>BONTÁSI, ELŐKÉSZÍTŐ MUNKÁK</t>
  </si>
  <si>
    <t>m3</t>
  </si>
  <si>
    <t>db</t>
  </si>
  <si>
    <t>Finom tereprendezés (termőföld elterítés)</t>
  </si>
  <si>
    <t>m2</t>
  </si>
  <si>
    <t>BONTÁSI, ELŐKÉSZÍTŐ MUNKÁK ÖSSZESEN:</t>
  </si>
  <si>
    <t xml:space="preserve">II. </t>
  </si>
  <si>
    <t>ÉPÍTÉSI MUNKÁK</t>
  </si>
  <si>
    <t>ÉPÍTÉSI MUNKÁK ÖSSZESEN:</t>
  </si>
  <si>
    <t xml:space="preserve">III. </t>
  </si>
  <si>
    <t>BERENDEZÉSEK ÖSSZESEN:</t>
  </si>
  <si>
    <t xml:space="preserve">IV. </t>
  </si>
  <si>
    <t>NÖVÉNYTELEPÍTÉSI MUNKÁK</t>
  </si>
  <si>
    <t>NÖVÉNYTELEPÍTÉSI MUNKÁK ÖSSZESEN:</t>
  </si>
  <si>
    <t>ÖSSZESEN NETTÓ</t>
  </si>
  <si>
    <t>MINDÖSSZESEN NETTÓ</t>
  </si>
  <si>
    <t>Acer campestre 'Red Shine'</t>
  </si>
  <si>
    <t xml:space="preserve">FÁK </t>
  </si>
  <si>
    <t>korai juhar</t>
  </si>
  <si>
    <t>2xi</t>
  </si>
  <si>
    <t>SF</t>
  </si>
  <si>
    <t>Acer-p-D</t>
  </si>
  <si>
    <t>Acer platanoides 'Drummondi'</t>
  </si>
  <si>
    <t>tarkalevelű juhar</t>
  </si>
  <si>
    <t>Cerc-s</t>
  </si>
  <si>
    <t xml:space="preserve">Cercis siliquastrum </t>
  </si>
  <si>
    <t>közönséges júdásfa</t>
  </si>
  <si>
    <t>Frax-e-J</t>
  </si>
  <si>
    <t>Fraxinus excelsior 'Jaspidea'</t>
  </si>
  <si>
    <t>sárga kőris</t>
  </si>
  <si>
    <t>Acer-c-RS</t>
  </si>
  <si>
    <t>Ssz.</t>
  </si>
  <si>
    <t>Rövidítés</t>
  </si>
  <si>
    <t>Latin név</t>
  </si>
  <si>
    <t>Magyar név</t>
  </si>
  <si>
    <t>Darabszám</t>
  </si>
  <si>
    <t>Edény</t>
  </si>
  <si>
    <t>Méret</t>
  </si>
  <si>
    <t>Ft/ db</t>
  </si>
  <si>
    <t>Ár</t>
  </si>
  <si>
    <t>mezei juhar</t>
  </si>
  <si>
    <t>Acer platanoides 'Crimson King'</t>
  </si>
  <si>
    <t>vérjuhar</t>
  </si>
  <si>
    <t>Acer-p-CK</t>
  </si>
  <si>
    <t>Acer saccharinum </t>
  </si>
  <si>
    <t>Ezüst juhar</t>
  </si>
  <si>
    <t>Acer-s</t>
  </si>
  <si>
    <t>Quer-r</t>
  </si>
  <si>
    <t>Quercus robur</t>
  </si>
  <si>
    <t>kocsányos tölgy</t>
  </si>
  <si>
    <t>oszlopos tölgy</t>
  </si>
  <si>
    <t>Sorb-t-F</t>
  </si>
  <si>
    <t>Sorbus thuringiaca ’Fastisiata’</t>
  </si>
  <si>
    <t>oszlopos berkenye</t>
  </si>
  <si>
    <t>Tili-t-SZ</t>
  </si>
  <si>
    <t>Tilia tomentosa 'Szeleste'</t>
  </si>
  <si>
    <t>ezüst hárs</t>
  </si>
  <si>
    <t>Liri-t</t>
  </si>
  <si>
    <t>Liriodendron tulipifera</t>
  </si>
  <si>
    <t>tulipánfa</t>
  </si>
  <si>
    <t>14/16</t>
  </si>
  <si>
    <t>fm</t>
  </si>
  <si>
    <t>Meglévő betonlap burkolat elbontása, elszállítva lerakóhelyi díjjal számolva</t>
  </si>
  <si>
    <t>Meglévő beton pingpong asztal elbontása, elszállítva lerakóhelyi díjjal számolva</t>
  </si>
  <si>
    <t>Gyep kézi vetése 5 dkg/m2 fűmag mennyiség kijuttatásával műtrágya bekeverésével</t>
  </si>
  <si>
    <t>tétel</t>
  </si>
  <si>
    <t xml:space="preserve">Stabilizált murva burkolat készítése </t>
  </si>
  <si>
    <t>KÖRNYEZETRENDEZÉSI KIVITELI TERV</t>
  </si>
  <si>
    <t>5 cm vtg. Gyepnyesés tervezett burkolat helyén, területen belül elterítve</t>
  </si>
  <si>
    <t>2017. MÁRCIUS</t>
  </si>
  <si>
    <t>Salix matsudana 'Tortuosa'</t>
  </si>
  <si>
    <t>Sali-mT</t>
  </si>
  <si>
    <t>spirálfűz</t>
  </si>
  <si>
    <t>Fraxinus angustifolia ssp. Pannonica</t>
  </si>
  <si>
    <t>Frax-a-s-P</t>
  </si>
  <si>
    <t>magyar kőris</t>
  </si>
  <si>
    <t>1</t>
  </si>
  <si>
    <t>2</t>
  </si>
  <si>
    <t>3</t>
  </si>
  <si>
    <t>4</t>
  </si>
  <si>
    <t>5</t>
  </si>
  <si>
    <t>6</t>
  </si>
  <si>
    <t>7</t>
  </si>
  <si>
    <t>8</t>
  </si>
  <si>
    <t>db/m2</t>
  </si>
  <si>
    <t>C2</t>
  </si>
  <si>
    <t>30/40</t>
  </si>
  <si>
    <t>Corn-m</t>
  </si>
  <si>
    <t>Cornus mas</t>
  </si>
  <si>
    <t>húsos som</t>
  </si>
  <si>
    <t>40/60</t>
  </si>
  <si>
    <t>Corn-s</t>
  </si>
  <si>
    <t>Cornus sanguinea</t>
  </si>
  <si>
    <t>veresgyűrűs som</t>
  </si>
  <si>
    <t>Corn-sto-F</t>
  </si>
  <si>
    <t>Cornus  stolonifera 'Flaviramea'</t>
  </si>
  <si>
    <t>sárgavesszőjű som</t>
  </si>
  <si>
    <t>Crat-m</t>
  </si>
  <si>
    <t>Crataegus monogyna</t>
  </si>
  <si>
    <t>egybibés galagonya</t>
  </si>
  <si>
    <t>örökzöld orbáncfű</t>
  </si>
  <si>
    <t>Kerr-j</t>
  </si>
  <si>
    <t>Kerria japonica 'Pleniflora'</t>
  </si>
  <si>
    <t>teltvirágú boglárkacserje</t>
  </si>
  <si>
    <t>Sali-p-G</t>
  </si>
  <si>
    <t>Salix purpurea 'Gracilis'</t>
  </si>
  <si>
    <t>Sali-r</t>
  </si>
  <si>
    <t>Salix rosmarinifolia</t>
  </si>
  <si>
    <t>serevényfűz</t>
  </si>
  <si>
    <t xml:space="preserve">ALACSONY CSERJÉK </t>
  </si>
  <si>
    <t>kányabangita</t>
  </si>
  <si>
    <t>Vibo-o</t>
  </si>
  <si>
    <t>Salvia officinalis 'Purpurea'</t>
  </si>
  <si>
    <t>orvosi zsálya</t>
  </si>
  <si>
    <t>Viburnum opulus 'Compactum'</t>
  </si>
  <si>
    <t>Viburnum opulus</t>
  </si>
  <si>
    <t>törpe labdarózsa</t>
  </si>
  <si>
    <t>Salv-o-P</t>
  </si>
  <si>
    <t>Vibu-o-C</t>
  </si>
  <si>
    <t>össz db</t>
  </si>
  <si>
    <t>Butomus umbellatus</t>
  </si>
  <si>
    <t>virágkáka</t>
  </si>
  <si>
    <t>Caltha palustris</t>
  </si>
  <si>
    <t>mocsári gólyahír</t>
  </si>
  <si>
    <t>Iris pseudacorus</t>
  </si>
  <si>
    <t xml:space="preserve"> mocsári nőszirom</t>
  </si>
  <si>
    <t>Lythrum salicaria</t>
  </si>
  <si>
    <t>réti füzény</t>
  </si>
  <si>
    <t>Typha minima</t>
  </si>
  <si>
    <t>apró gyékény</t>
  </si>
  <si>
    <t>Myosotis palustris</t>
  </si>
  <si>
    <t>mocsári nefelejcs</t>
  </si>
  <si>
    <t>Buto-u</t>
  </si>
  <si>
    <t>Calt-p</t>
  </si>
  <si>
    <t>Iris-p</t>
  </si>
  <si>
    <t>Lyth-s</t>
  </si>
  <si>
    <t>Myos-p</t>
  </si>
  <si>
    <t>Typh-m</t>
  </si>
  <si>
    <t>Geranium palustre</t>
  </si>
  <si>
    <t>Gera-p</t>
  </si>
  <si>
    <t>mocsári gólyaorr</t>
  </si>
  <si>
    <t>60/80</t>
  </si>
  <si>
    <t>Típus, minőség</t>
  </si>
  <si>
    <t>Acer platanoides 'Autumn Blaze'</t>
  </si>
  <si>
    <t xml:space="preserve">Tilia Szent István </t>
  </si>
  <si>
    <t>szent istván hárs</t>
  </si>
  <si>
    <t>Tili-Sz-I</t>
  </si>
  <si>
    <t>Carp-b-F</t>
  </si>
  <si>
    <t>Ivókút elhelyezése</t>
  </si>
  <si>
    <t>Drótfonatos kerítés elbontása lábazattal, alépítménnyel együtt, elszállítása lerakóhelyi díjjal számlva</t>
  </si>
  <si>
    <t>BERENDEZÉSEK</t>
  </si>
  <si>
    <t>tatárlonc</t>
  </si>
  <si>
    <t>Loni-c-HR</t>
  </si>
  <si>
    <t>uráli csigolyafűz</t>
  </si>
  <si>
    <t>zanót</t>
  </si>
  <si>
    <t xml:space="preserve">Cytisus scoparius 'Red Wings' </t>
  </si>
  <si>
    <t>Cyti-s-RW</t>
  </si>
  <si>
    <t>9x9</t>
  </si>
  <si>
    <t>Lonicera tatarica 'Hack's Red'</t>
  </si>
  <si>
    <t>MAGAS ÉS KÖZÉPMAGAS CSERJÉK</t>
  </si>
  <si>
    <t>Hypericum Hidcote</t>
  </si>
  <si>
    <t>3-4</t>
  </si>
  <si>
    <t>Forgalaomterelő pollerek kihelyezése - Cső forgalomterelő
44040505-P-V (Városszépítő Kft..)</t>
  </si>
  <si>
    <t>mmcité vera támla nélküli LV111tk típusú ülőke kihelyezése</t>
  </si>
  <si>
    <t>Acer-p -AB</t>
  </si>
  <si>
    <t>Carpinus betulus 'Fastigiata'</t>
  </si>
  <si>
    <t xml:space="preserve">Távhő vezeték mögötti cserjesáv tisztítása, ritkítása, keletkező zöldhulladék helyben deponálása </t>
  </si>
  <si>
    <t xml:space="preserve">Aszfaltos visszafordítórészén lvő áteresz fedése fém rácsozattal, helyszíni felmérés alapján egyedi gyártással, kivehető elemekből </t>
  </si>
  <si>
    <t>mmcité diagonál DG115rk típusú hulladékgyűjtők kihelyezése
-45 l, kör alakú alaprajz, borítás kezelt akácfa lécekből, tetővel</t>
  </si>
  <si>
    <t>Süllyesztett kerti szegély építése  fm; C10-32 FN betongerenda megtámasztással, 10 cm homokos kavics ágyazat tömörítve  trγ=90%</t>
  </si>
  <si>
    <t>Tűzrakóhely kiépítése</t>
  </si>
  <si>
    <t>Térkő burkolat építése parkolóhoz</t>
  </si>
  <si>
    <t>Stabilizállt szórt burkolat építése sétautakhoz</t>
  </si>
  <si>
    <t>10x20x8 cm térkő burkolat fektetése ágyaző rétegre Semmelrock Citytop szürke színben</t>
  </si>
  <si>
    <t>Gabion kosaras padrendszer kiépítése</t>
  </si>
  <si>
    <t>Alépítmény készítése térkőburkolathoz</t>
  </si>
  <si>
    <t>Alépítmény készítése gabionksarakhoz</t>
  </si>
  <si>
    <t xml:space="preserve"> Tűzrakó belső szerekeztének készítése</t>
  </si>
  <si>
    <t>Ülőke elemek előregyártása 66/12/5cm-es kőris pallókból, 5/5cm-es kőris párnafára csavarozva és drótozással történő rögzítése a gabion elemekhez, a faanyag tájépítész koncepció szerinti színben történő pácolásával és felületkezelő impregnálásával</t>
  </si>
  <si>
    <t>Meglévő ágapríték, mulcs helyben történő mozgatása, szennyeződések eltávolítása elterítése távhő vezeték mögötti cserjesáv alatt</t>
  </si>
  <si>
    <t>Nyugati partvonal mentén lévő 10 db Pyracantha c. (tűztövis) cserje átültetése K-09-es tervalpnak megfelelő heyre</t>
  </si>
  <si>
    <t>Meglévő fémszerekeztű hulladéktárolók elszállítva lerakóhelyi díjjal számolva</t>
  </si>
  <si>
    <t>Meglévő zöld műanyaga, ép hulladéktárolók elbontása, átadása beruházó részére</t>
  </si>
  <si>
    <t>Szeder cserjés, bozótos kézi munkával történő irtása a partfalról, keletkező zöldhulladék elszállításával</t>
  </si>
  <si>
    <t>Meglévő betongyámos padok elbontása, elszállítva lerakóhelyi díjjal számolva</t>
  </si>
  <si>
    <t>Meglévő padok áthelyezése K-10-es tervlapnak megfelelően és felújíítása, felületkezelése egységes minőségű kinézetre</t>
  </si>
  <si>
    <t>Meglévő mulcsozott út elbontása, helyben történő mozgatása, deponálása, majd elterítése távhő vezeték mögötti cserjesáv alatt</t>
  </si>
  <si>
    <t>Süllyesztett és kiemelt térburkoló szegély 8x25x100 cm Semmelrock szürke színben;
30x40x30 cm C10-32 FN betonsávalap megtámasztással, 10 cm homokos kavics ágyazat tömörítve  trγ=90%</t>
  </si>
  <si>
    <t>40 cm tükörkiemelés és tömörítés tervezett térkő burkolat helyén kitermelt altalaj helybeni felhasználásval</t>
  </si>
  <si>
    <t>Meglévő tömörödött, kavicsos földút elbontása 5 cm vtg.-ban helyben történő felhasználása terepdombokhoz töltőanyagnak</t>
  </si>
  <si>
    <t>60 cm tükörkiemelés és tömörítés kitermelt altalaj helybeni felhasználásval terepdombokhoz</t>
  </si>
  <si>
    <t>- 4 cm N 4/8 kőzúzalék többször nedvesen hengerelve, mésztejjel locsolva (85,2 m3)</t>
  </si>
  <si>
    <t>- 6 cm NZ 11/22 mészkő zúzalék (127,9 m3)</t>
  </si>
  <si>
    <t>- 11 cm NZ 22/32 kőzúzalék (234,4 m3)</t>
  </si>
  <si>
    <t>- 1 réteg 150gr/m² geotextil rétegen, tömörített altalajon (2557 m2)</t>
  </si>
  <si>
    <t>-15 cm vtg. NZ 4/11 fagyálló zúzottkő alépítmény építése  (11,3 m3)</t>
  </si>
  <si>
    <t>-20 cm vtg. NZ 22/32 fagyálló zúzottkő alépítmény építése  (15 m3)</t>
  </si>
  <si>
    <t>- 10 cm vastag beton fal C10-32 FN készítése (3 m3)</t>
  </si>
  <si>
    <t xml:space="preserve">- belső köríven samottégla burkolással és vízüveg borítással (1,5 m2) </t>
  </si>
  <si>
    <t>- 20 cm vtg. C10-32 FN beton sávalap készítése (1,2 m3)</t>
  </si>
  <si>
    <t>Tájékoztató tábla betonpillérjének készítése és elhelyezése</t>
  </si>
  <si>
    <t>Kiültetett fák karózása 3 db/fa</t>
  </si>
  <si>
    <t xml:space="preserve">Gabion (Kőbox) fémszerkezet 40x60x60 cm </t>
  </si>
  <si>
    <t xml:space="preserve"> Gabion (Kőbox) fémszerkezet 80x60x60 cm </t>
  </si>
  <si>
    <t xml:space="preserve">Gabion (Kőbox) fémszerkezet 60x40x60 cm </t>
  </si>
  <si>
    <t xml:space="preserve">Gabion (Kőbox) fémszerkezet 80x40x60 cm </t>
  </si>
  <si>
    <t>Gabion (Kőbox) fémszerkezetű gyűrű kiépítése külső méret 160 cm belső méret 120 cm, magasság 40 cm</t>
  </si>
  <si>
    <t>40x40x5 cm beton fedlap ragasztva, konszignáció szerint gérba vágva (lsd. K-13 tervlap)</t>
  </si>
  <si>
    <t>60 cm tükörkiemelés és tömörítés; kitermelt altalaj helybeni felhasználásval terepdombokhoz</t>
  </si>
  <si>
    <t>9</t>
  </si>
  <si>
    <t>10</t>
  </si>
  <si>
    <t>11</t>
  </si>
  <si>
    <t>átlagosan 10 cm tükörkiemelés és tömörítés stabilizált szórt burkolathoz a kitermelt altalaj helybeni felhasználásval parti rézsű feltöltéséhez</t>
  </si>
  <si>
    <t>- 30 cm vtg. C16-32 KK beton sávalap készítése (6 m3)</t>
  </si>
  <si>
    <t>Délnyugati partfal megerősítése, biztosítása gabion kosarakból (29 fm)</t>
  </si>
  <si>
    <t>Átlag 80 cm tükörkiemelés és tömörítés kitermelt altalaj helybeni felhasználásval terepdombokhoz</t>
  </si>
  <si>
    <t>Fakivágás tuskómarással, zöldhulladék helyben hasznosításával 0-10 cm törzsátmérőig
 K-04-es tervlap alapján</t>
  </si>
  <si>
    <t>Fakivágás tuskómarással, zöldhulladék helyben hasznosításával 10-30 cm törzsátmérőig 
K-04-es tervlap alapján</t>
  </si>
  <si>
    <t>Fakivágás tuskómarással, zöldhulladék helyben hasznosításával 30-60 cm törzsátmérőig 
K-04-es tervlap alapján</t>
  </si>
  <si>
    <t>Meglévő, megmaradó fák gallyazása, ápolása
K-04-es tervlap alapján</t>
  </si>
  <si>
    <t xml:space="preserve">Átlag 10 cm vtg humuszos termőföld terítése 20%-os tömörödéssel számolva (5636 m2) </t>
  </si>
  <si>
    <t>12</t>
  </si>
  <si>
    <t>13</t>
  </si>
  <si>
    <t>14</t>
  </si>
  <si>
    <t>15</t>
  </si>
  <si>
    <t>16</t>
  </si>
  <si>
    <t>17</t>
  </si>
  <si>
    <t>18</t>
  </si>
  <si>
    <t>19</t>
  </si>
  <si>
    <t>Terepplasztika és terepdombok kiépítése, tükörből kikerülő talaj felhasználásáva - finom tereprendezés</t>
  </si>
  <si>
    <t>-15 cm vtg. NZ 22/32 kőzúzalék terítése, tömörítése teherbíró altajra beton sávalap alatt
 (0,9 m3)</t>
  </si>
  <si>
    <t xml:space="preserve">Kőboxok feltöltése 10/20 világosszürke színű görgeteg kőből </t>
  </si>
  <si>
    <t xml:space="preserve">Kőboxok feltöltése 10/20 világosszürke színű gránit görgeteg kőből </t>
  </si>
  <si>
    <t>-15 cm vtg. NZ 22/32 kőzúzalék terítése, tömörítése teherbíró altajra beton sávalap alatt 
(2 m3)</t>
  </si>
  <si>
    <t>-15 cm vtg. NZ 22/32 kőzúzalék terítése, tömörítése teherbíró altajra betonsávalap alatt  (0,3 m3)</t>
  </si>
  <si>
    <t>- 20 cm vtg. C10-32 FN betonsávalap készítés tűzrakóhoz  (0,2 m3)</t>
  </si>
  <si>
    <t>20</t>
  </si>
  <si>
    <t>21</t>
  </si>
  <si>
    <t>22</t>
  </si>
  <si>
    <t>23</t>
  </si>
  <si>
    <t>24</t>
  </si>
  <si>
    <t>25</t>
  </si>
  <si>
    <t>26</t>
  </si>
  <si>
    <t>Hype-H</t>
  </si>
  <si>
    <t>Budapest XVIII. kerület 152646/6. helyrajzi számon található ingatlan fejlesztése I. ütem</t>
  </si>
  <si>
    <t>Függõleges pallójú dúcolás</t>
  </si>
  <si>
    <t>m</t>
  </si>
  <si>
    <t>KIVITELI TERV</t>
  </si>
  <si>
    <t>Budapest XVIII. kerület 152646/6. helyrajzi számon található ingatlan fejlesztése</t>
  </si>
  <si>
    <t>TERVEZŐI KÖLTSÉGVETÉS KIÍRÁS</t>
  </si>
  <si>
    <t>KÖRNYEZETRENDEZÉS</t>
  </si>
  <si>
    <t>FASZERKEZETŰ STÉG KIALAKÍTÁSÁNAK</t>
  </si>
  <si>
    <t>STATIKAI FEJEZETÉHEZ</t>
  </si>
  <si>
    <t>Főösszesítő</t>
  </si>
  <si>
    <t>Anyag összesen</t>
  </si>
  <si>
    <t>Díj összesen</t>
  </si>
  <si>
    <t>Összesen:</t>
  </si>
  <si>
    <t>Mindösszesen:</t>
  </si>
  <si>
    <t>ÁFA</t>
  </si>
  <si>
    <t>BRUTTÓ ÖSSZESEN:</t>
  </si>
  <si>
    <t>Készítette:</t>
  </si>
  <si>
    <t>Kaknics Tamás</t>
  </si>
  <si>
    <t>statikus tervező</t>
  </si>
  <si>
    <t>T- 01 1707</t>
  </si>
  <si>
    <t>tel 06-20-43-49-493</t>
  </si>
  <si>
    <t>Budapest, 2017. március</t>
  </si>
  <si>
    <t>I. Alépítményi munkák</t>
  </si>
  <si>
    <t>Szám</t>
  </si>
  <si>
    <t>Menny.</t>
  </si>
  <si>
    <t>Egys</t>
  </si>
  <si>
    <t>Anyag</t>
  </si>
  <si>
    <t>Díj</t>
  </si>
  <si>
    <t>Földmunkák</t>
  </si>
  <si>
    <t>1.1</t>
  </si>
  <si>
    <t>Humuszréteg eltávolítás a stég lejársók csatlakozásánál 40cm-es vastagságban deponálással</t>
  </si>
  <si>
    <t>1.2.</t>
  </si>
  <si>
    <t>Humusz visszatöltés a rámpa lejárók csatlakozásánál, az elkészült műtárgy mellett, 40cm vastagságban, tömörítve</t>
  </si>
  <si>
    <t>Alapozási munkák</t>
  </si>
  <si>
    <t>2.1</t>
  </si>
  <si>
    <t>Próbacölöpözés az altalaj adottságainak pontosítására</t>
  </si>
  <si>
    <t>mó</t>
  </si>
  <si>
    <t>Kihegyezett, D=20cm-es akác cölöpök leverése az S-01-es terv geometriai adatai szerint</t>
  </si>
  <si>
    <t>II. Építési munkák</t>
  </si>
  <si>
    <t>Ácsmunka</t>
  </si>
  <si>
    <t>3.1</t>
  </si>
  <si>
    <t>A megvásárolt D30-as minőségű akácelemek impregnálása telítésig történő merítéssel, lenolajkencével.</t>
  </si>
  <si>
    <t>3.2</t>
  </si>
  <si>
    <t xml:space="preserve">Impregnált akácelemek beépítése a levert cölöpökre az S-02-es terv szerint lapolással,csavarozással, </t>
  </si>
  <si>
    <t>3.3</t>
  </si>
  <si>
    <t>Hézagos keményfapallós burkolat szerelése a faszerkezetű alátámasztórendszerrel 12/5-ös pallókkal és (8-20)/5-ös, vágott elemekkel csavarozással</t>
  </si>
  <si>
    <t>Sorszám</t>
  </si>
  <si>
    <t>Tétel</t>
  </si>
  <si>
    <t>mennyiség</t>
  </si>
  <si>
    <t>mérték-
egység</t>
  </si>
  <si>
    <t>I. Építéselőkészítő és bontási munkák</t>
  </si>
  <si>
    <t>Ft/egység</t>
  </si>
  <si>
    <t xml:space="preserve">Biztonsági védőkorlát                            </t>
  </si>
  <si>
    <t>Útalapbeton bontása géppel 50 cm vtg-ban</t>
  </si>
  <si>
    <r>
      <t>m</t>
    </r>
    <r>
      <rPr>
        <vertAlign val="superscript"/>
        <sz val="10"/>
        <rFont val="Arial"/>
        <family val="2"/>
        <charset val="238"/>
      </rPr>
      <t>3</t>
    </r>
  </si>
  <si>
    <t>Zúzalékos aszfaltszönyegek, aszfalbetonok és öntött aszfaltok bontása kötőréteggel együtt géppel,  hidraulikus bontófejjel</t>
  </si>
  <si>
    <r>
      <t>m</t>
    </r>
    <r>
      <rPr>
        <vertAlign val="superscript"/>
        <sz val="10"/>
        <rFont val="Arial"/>
        <family val="2"/>
        <charset val="238"/>
      </rPr>
      <t>2</t>
    </r>
  </si>
  <si>
    <t>Kiemelt szegély bontása betongerendával együtt</t>
  </si>
  <si>
    <t xml:space="preserve">Építési törmelék elszállítása                            </t>
  </si>
  <si>
    <t>Ingatlanon belül burkolat bontás környezetrendezési terv szerint</t>
  </si>
  <si>
    <t>II. Földmunka</t>
  </si>
  <si>
    <t>Munkaárok földkiemelése közművesített területen kézi erővel, bármely konzisztenciájú talajban, dúcolt árokból, 3.0 m árokszélességig, III. o. talajból, 2.0 m mélységig</t>
  </si>
  <si>
    <t>Földvisszatöltés munkaárokba tömörítés nélkül, a vezeték felett, mellett 30 cm és alatt 10 cm vastagságig, hozott bányahomokból</t>
  </si>
  <si>
    <t>Földvisszatöltés munkaárokba tömörítés nélkül a vezetéket környező 50 cm-ig</t>
  </si>
  <si>
    <t>Földvisszatöltés munkaárokba tömörítés nélkül a vezetéket környező 50 cm-n túli szelvényben</t>
  </si>
  <si>
    <t>Tömörítés a vezeték felett és mellett ”J” tömörítési talajosztályban, Trg=85% tömörségi fokra</t>
  </si>
  <si>
    <t>Tömörítés a vezeték felett és mellett ”K” tömörítési talajosztályban, Trg=90% tömörségi fokra</t>
  </si>
  <si>
    <t>Tömörítés a vezeték felett és mellett ”K” tömörítési talajosztályban, Trg=95% tömörségi fokra</t>
  </si>
  <si>
    <t>Kiszoruló föld elszállítása, vagy telken belüli elhelyezése</t>
  </si>
  <si>
    <t>III. Felépítmény</t>
  </si>
  <si>
    <t>D32 KPE MRS10 (PE100) SDR11 PN16 MSZ EN 12201 vízvezeték építése földárokban</t>
  </si>
  <si>
    <t>D20 KPE MRS10 (PE100) SDR11 PN16 MSZ EN 12201 vízvezeték építése földárokban</t>
  </si>
  <si>
    <t>Vízvezeték szakaszos és hálózati tömörségi nyomáspróbája</t>
  </si>
  <si>
    <t xml:space="preserve">Vízmérőakna szerkezeti vízzáró beton C20/25-XC1-24-F5(MSZ EN 206-1), C20-24/K vz2(MSZ 4719) </t>
  </si>
  <si>
    <r>
      <t xml:space="preserve">Vízmérőakna hálóvasalás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10/10x10, B60.50</t>
    </r>
  </si>
  <si>
    <t>t</t>
  </si>
  <si>
    <t>Vízmérőakna zsaluzás</t>
  </si>
  <si>
    <t>Vízmérőakna zsomprács és keret hga.</t>
  </si>
  <si>
    <r>
      <t xml:space="preserve">Vízmérőakna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20 műanyagbevonatos aknahágcsó</t>
    </r>
  </si>
  <si>
    <t>Vízmárőakna fedlap és keret 600*600 mm nyílású, öv.</t>
  </si>
  <si>
    <t>Vízmérőaknában NA25 többfunkciós visszacsapó szelepes golyóscsap a mérő felé hollandi kötéssel</t>
  </si>
  <si>
    <r>
      <t xml:space="preserve">Vízmérőaknában ürítési leágazás D32/20 KPE és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1/2" tömlővéges golyóscsap</t>
    </r>
  </si>
  <si>
    <t>Vízmérőaknában vízzáró falátvezetés DN40/KPE</t>
  </si>
  <si>
    <t>Ivókútnál 1/2"/öv ürítős házi elzáró+beép. készl.+csapszekrény (ha a gyártmány nem tartalmazza)</t>
  </si>
  <si>
    <t>D32/32 KPE elágazóidom</t>
  </si>
  <si>
    <t>D32/20 KPE szűkítőidom</t>
  </si>
  <si>
    <t>Vezeték fertőtlenítése, öblítése, mintavétel</t>
  </si>
  <si>
    <t>Ivókútnál D63 KPE MRS10 (PE100) SDR11 PN16 MSZ EN 12201 csővezeték építése földárokban</t>
  </si>
  <si>
    <t>Ivókútnál Csatornák és aknák különféle vizsgálatai vizzárósági vizsgálat</t>
  </si>
  <si>
    <t>Ivókútnál ABN Design Kft. tip. egy db. elemből álló szikkasztószekrény</t>
  </si>
  <si>
    <t>Ivókútnál geotextília szűrőszövet burkolás szikkasztószekrényen</t>
  </si>
  <si>
    <t>Ivókútnál 20 cm vtg. szívárgótest</t>
  </si>
  <si>
    <t>IV. Helyreállítási munkák</t>
  </si>
  <si>
    <t>Út-, járda betonalap helyreállítása 20 cm vastagságban C16-16/FN</t>
  </si>
  <si>
    <t>öntött aszfaltburkolatok készitése mozgó masztikátorban keverve ö-1,ö-2,ö-3 keverékből beépítés kézi erővel 3.0 cm   száraz zúzalékkal érdesítve</t>
  </si>
  <si>
    <t>Kiemelt szegély helyreállítása C16-16/FN min. betongerendával, bontott anyagból</t>
  </si>
  <si>
    <t>Vízellátás összesen:</t>
  </si>
  <si>
    <t>Földkitermelés (I. - IV. osztály)</t>
  </si>
  <si>
    <t>Föld deponálása a munkahely közelében</t>
  </si>
  <si>
    <t>Föld és egyéb törmelék elszállítása</t>
  </si>
  <si>
    <t>Homokágy készítése 20 cm vastagságban</t>
  </si>
  <si>
    <t>Föld visszatöltés tömörítéssel</t>
  </si>
  <si>
    <t>Talajtömörségi vizsgálat</t>
  </si>
  <si>
    <t>Kábelbontás árok védőcsövéből, I.</t>
  </si>
  <si>
    <t>Földelési ellenállás mérés</t>
  </si>
  <si>
    <t>Hurokellenállás mérés</t>
  </si>
  <si>
    <t>KÖZVILÁGÍTÁS</t>
  </si>
  <si>
    <t>NÖVÉNYTELEPÍTÉSI MUNKÁK Budapest XVIII. kerület 152646/6. helyrajzi számon található ingatlan fejlesztése I. ütem</t>
  </si>
  <si>
    <t>PARTI RÉZSŰRE ÜLTETHETŐ (VÍZI) NÖVÉNYEK</t>
  </si>
  <si>
    <t>Oeno-s-S</t>
  </si>
  <si>
    <t>Oenothera speciosa 'Siskiyou'</t>
  </si>
  <si>
    <t>pompás ligetszépe</t>
  </si>
  <si>
    <t>ELŐZETES, ÁRAZATLAN TERVEZŐI KÖLTSÉGBECSLÉS</t>
  </si>
  <si>
    <t>Helyszínre felvonulás</t>
  </si>
  <si>
    <t>Organizáció</t>
  </si>
  <si>
    <t>V.</t>
  </si>
  <si>
    <t>EGYÉB MUNKÁK</t>
  </si>
  <si>
    <t>EGYÉB MUNKÁK ÖSSZESEN:</t>
  </si>
  <si>
    <t xml:space="preserve">V. </t>
  </si>
  <si>
    <t>A költségkiírásban szereplő termékek műszaki egyenértékűség mellett lecserélhetők!</t>
  </si>
  <si>
    <t>Fák átültetése (1-4. és 8.9. sorszámúak), K-05-ös tervlap szerint</t>
  </si>
  <si>
    <t>Lombos fa ültetése száraz, földnedves talajban 1,0x1,0x1,0  m-es ültetőgödörrel, I-II. fejtési talajosztályban 50% -os talajcserével, tápanyag utánpótlással 
- A kiültetés, a növények fajtának, darabszámának meghatározását lásdTervezett növényjegyzék és a K-09.1-es tervlap alapján</t>
  </si>
  <si>
    <t>Magas, középmagas cserjék ültetése száraz, földnedves talajban 0,4x0,4x0,4  m-es ültetőgödörrel, I-II. fejtési talajosztályban 50% -os talajcserével, tápanyag utánpótlással
- Takaró és védő cserjesávok kialakítása  
- A kiültetés, a növények fajtájának, darabszámának meghatározását lásdTervezett növényjegyzék és a K-09.2-es tervlap alapján</t>
  </si>
  <si>
    <t>Alacsony cserjék telepítése ültetése száraz, földnedves talajban 0,3x0,3x0,3 m-es ültetőgödörrel, I-II. fejtési talajosztályban 50% -os talajcserével, tápanyag utánpótlással 
- A kiültetés, a növények fajtájának, darabszámának meghatározását lásdTervezett növényjegyzék és a K-09.2-es tervlap alapján</t>
  </si>
  <si>
    <t>Vízi növények telepítése, partfalak biztosítása, megkötése növénytelepítéssel
 - A kiültetés, a növények fajtájának, darabszámának meghatározását lásdTervezett növényjegyzék és a K-09.2-es tervlap alapján</t>
  </si>
  <si>
    <t>anyag egységár</t>
  </si>
  <si>
    <t>összes anyagdíj</t>
  </si>
  <si>
    <t>összes munkadíj</t>
  </si>
  <si>
    <t>munkadíj egységár</t>
  </si>
  <si>
    <t>FASZERKEZETŰ STÉG KIALAKÍTÁSI MUNKÁK  anyagdíj összesen:</t>
  </si>
  <si>
    <t>Földmunkák, kábelfektetés, oszlopállítás</t>
  </si>
  <si>
    <t>Szerelés</t>
  </si>
  <si>
    <t>Osváth Miklós</t>
  </si>
  <si>
    <t>közvilágítás tervező</t>
  </si>
  <si>
    <t>EN-V 01 6342</t>
  </si>
  <si>
    <t>I. Földmunkák, oszlopállítás</t>
  </si>
  <si>
    <t>1.2</t>
  </si>
  <si>
    <t>1.3</t>
  </si>
  <si>
    <t>1.4</t>
  </si>
  <si>
    <t>1.5</t>
  </si>
  <si>
    <t>1.6</t>
  </si>
  <si>
    <t>1.7</t>
  </si>
  <si>
    <t>1.8</t>
  </si>
  <si>
    <t>NYCWY 4x10/10 RE kábel fektetése árokba, homokágyba, III.</t>
  </si>
  <si>
    <t>1.9</t>
  </si>
  <si>
    <t>Kábelfedlap 1000x200x10mm (műanyag) elhelyezés kábelárokban</t>
  </si>
  <si>
    <t>1.10</t>
  </si>
  <si>
    <t>Műanyag kábeljelző szalag elhelyezése  "Erősáram" felirattal</t>
  </si>
  <si>
    <t>1.11</t>
  </si>
  <si>
    <t>Acél 4m teleszkópos, talpcsavaros Park 40/76/T Lámpaoszlop bontása</t>
  </si>
  <si>
    <t>1.12</t>
  </si>
  <si>
    <t>Új acél 4m teleszkópos, talpcsavaros Park 40/76/T lámpaoszlop állítása</t>
  </si>
  <si>
    <t>1.13</t>
  </si>
  <si>
    <t>Meglévő, áthelyezendő 4m teleszkópos, talpcsavaros Park 40/76/T lámpaoszlop állítása (anyag nélkül)</t>
  </si>
  <si>
    <t>II. Kábelszerelés, lámpatest elhelyezés</t>
  </si>
  <si>
    <t>GLÓRIA 1×36 W LED lámpatest leszerelése</t>
  </si>
  <si>
    <t>2.2</t>
  </si>
  <si>
    <t>Új GLÓRIA 1×36 W LED lámpatest felszerelése</t>
  </si>
  <si>
    <t>2.3</t>
  </si>
  <si>
    <t>Meglév, áthelyezendő GLÓRIA 1×36 W LED lámpatest felszerelése</t>
  </si>
  <si>
    <t>2.4</t>
  </si>
  <si>
    <t>GURO EKM 1261/91530 (2xE27/2x5x16mm2) szerelvénylap elhelyezése oszloptestben</t>
  </si>
  <si>
    <t>2.5</t>
  </si>
  <si>
    <t>GURO EKM 1261/91540 (2xE27/3x5x10mm2) szerelvénylap elhelyezése oszloptestben</t>
  </si>
  <si>
    <t>2.6</t>
  </si>
  <si>
    <t>3 m-es 20-6-001 típ. rúdföldelő telepítése</t>
  </si>
  <si>
    <t>2.7</t>
  </si>
  <si>
    <t>2.8</t>
  </si>
  <si>
    <t>MUNKANEMENKÉNTI ÖSSZESÍTŐ</t>
  </si>
  <si>
    <t>KÖRNYEZETRENDEZÉSI MUNKÁK összesen:</t>
  </si>
  <si>
    <t>ELEKTROMOS MUNKÁK összesen:</t>
  </si>
  <si>
    <t>VÍZI KÖZMŰ MUNKÁK összesen:</t>
  </si>
  <si>
    <t>BONTÁSI, ELŐKÉSZÍTŐ MUNKÁK összesen:</t>
  </si>
  <si>
    <t>ÉPÍTÉSI MUNKÁK összesen:</t>
  </si>
  <si>
    <t>BERENDEZÉSEK összesen:</t>
  </si>
  <si>
    <t>Egyéb munka</t>
  </si>
  <si>
    <t>NÖVÉNYTELEPÍTÉSI MUNKÁK összesen:</t>
  </si>
  <si>
    <t>EGYÉB MUNKÁK összesen:</t>
  </si>
  <si>
    <t>ÖSSZESEN NETTÓ:</t>
  </si>
  <si>
    <t>FŐÖSSZESÍTŐ</t>
  </si>
  <si>
    <t>VÍZELLÁTÁS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</si>
</sst>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  <numFmt numFmtId="166" formatCode="0.0"/>
    <numFmt numFmtId="167" formatCode="#,##0.0"/>
    <numFmt numFmtId="168" formatCode="#,##0.0\ _F_t"/>
    <numFmt numFmtId="169" formatCode="_-* #,##0\ [$Ft-40E]_-;\-* #,##0\ [$Ft-40E]_-;_-* &quot;-&quot;??\ [$Ft-40E]_-;_-@_-"/>
    <numFmt numFmtId="170" formatCode="#,##0.0\ &quot;Ft&quot;"/>
    <numFmt numFmtId="171" formatCode="0.000"/>
  </numFmts>
  <fonts count="7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11"/>
      <color rgb="FFFF000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rgb="FF286A28"/>
      <name val="Arial Narrow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hadow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8"/>
      <name val="Times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2"/>
      <name val="Times CE"/>
      <charset val="238"/>
    </font>
    <font>
      <sz val="12"/>
      <name val="Arial"/>
      <family val="2"/>
    </font>
    <font>
      <sz val="10"/>
      <name val="Arial"/>
      <family val="2"/>
    </font>
    <font>
      <u/>
      <sz val="12"/>
      <color indexed="8"/>
      <name val="Times CE"/>
      <charset val="238"/>
    </font>
    <font>
      <b/>
      <sz val="12"/>
      <color indexed="8"/>
      <name val="Times CE"/>
      <charset val="238"/>
    </font>
    <font>
      <sz val="14"/>
      <name val="Times CE"/>
      <charset val="238"/>
    </font>
    <font>
      <b/>
      <sz val="14"/>
      <name val="Times CE"/>
      <charset val="238"/>
    </font>
    <font>
      <b/>
      <sz val="14"/>
      <color indexed="8"/>
      <name val="Times CE"/>
      <charset val="238"/>
    </font>
    <font>
      <sz val="14"/>
      <color indexed="8"/>
      <name val="Times CE"/>
      <charset val="238"/>
    </font>
    <font>
      <b/>
      <u/>
      <sz val="14"/>
      <color indexed="8"/>
      <name val="Times CE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Symbol"/>
      <family val="1"/>
      <charset val="2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18" fillId="0" borderId="0"/>
    <xf numFmtId="0" fontId="45" fillId="0" borderId="0"/>
    <xf numFmtId="43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0" borderId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15" borderId="34" applyNumberFormat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38" applyNumberFormat="0" applyAlignment="0" applyProtection="0"/>
    <xf numFmtId="0" fontId="60" fillId="0" borderId="0" applyNumberFormat="0" applyFill="0" applyBorder="0" applyAlignment="0" applyProtection="0"/>
    <xf numFmtId="0" fontId="61" fillId="0" borderId="39" applyNumberFormat="0" applyFill="0" applyAlignment="0" applyProtection="0"/>
    <xf numFmtId="0" fontId="18" fillId="25" borderId="40" applyNumberFormat="0" applyFont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9" borderId="0" applyNumberFormat="0" applyBorder="0" applyAlignment="0" applyProtection="0"/>
    <xf numFmtId="0" fontId="62" fillId="12" borderId="0" applyNumberFormat="0" applyBorder="0" applyAlignment="0" applyProtection="0"/>
    <xf numFmtId="0" fontId="63" fillId="30" borderId="41" applyNumberFormat="0" applyAlignment="0" applyProtection="0"/>
    <xf numFmtId="0" fontId="64" fillId="0" borderId="0" applyNumberFormat="0" applyFill="0" applyBorder="0" applyAlignment="0" applyProtection="0"/>
    <xf numFmtId="0" fontId="65" fillId="0" borderId="42" applyNumberFormat="0" applyFill="0" applyAlignment="0" applyProtection="0"/>
    <xf numFmtId="0" fontId="66" fillId="11" borderId="0" applyNumberFormat="0" applyBorder="0" applyAlignment="0" applyProtection="0"/>
    <xf numFmtId="0" fontId="67" fillId="31" borderId="0" applyNumberFormat="0" applyBorder="0" applyAlignment="0" applyProtection="0"/>
    <xf numFmtId="0" fontId="68" fillId="30" borderId="34" applyNumberFormat="0" applyAlignment="0" applyProtection="0"/>
  </cellStyleXfs>
  <cellXfs count="490">
    <xf numFmtId="0" fontId="0" fillId="0" borderId="0" xfId="0"/>
    <xf numFmtId="0" fontId="1" fillId="0" borderId="18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9" fontId="0" fillId="0" borderId="19" xfId="0" applyNumberFormat="1" applyFill="1" applyBorder="1"/>
    <xf numFmtId="0" fontId="1" fillId="0" borderId="3" xfId="0" applyFont="1" applyFill="1" applyBorder="1" applyAlignment="1">
      <alignment horizontal="center" vertical="center"/>
    </xf>
    <xf numFmtId="169" fontId="0" fillId="0" borderId="20" xfId="0" applyNumberForma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6" fontId="0" fillId="0" borderId="3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165" fontId="7" fillId="0" borderId="0" xfId="0" applyNumberFormat="1" applyFont="1" applyBorder="1" applyAlignment="1"/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165" fontId="6" fillId="0" borderId="0" xfId="0" applyNumberFormat="1" applyFont="1" applyBorder="1" applyAlignment="1"/>
    <xf numFmtId="0" fontId="6" fillId="0" borderId="0" xfId="0" applyFont="1" applyBorder="1"/>
    <xf numFmtId="49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11" fillId="0" borderId="0" xfId="0" applyFont="1"/>
    <xf numFmtId="0" fontId="7" fillId="0" borderId="0" xfId="0" applyFont="1" applyFill="1" applyBorder="1" applyAlignment="1">
      <alignment horizontal="center" vertical="center"/>
    </xf>
    <xf numFmtId="0" fontId="6" fillId="2" borderId="0" xfId="0" applyFont="1" applyFill="1"/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/>
    <xf numFmtId="0" fontId="8" fillId="0" borderId="0" xfId="0" applyFont="1" applyFill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9" fillId="6" borderId="0" xfId="0" applyFont="1" applyFill="1"/>
    <xf numFmtId="165" fontId="7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 wrapText="1"/>
    </xf>
    <xf numFmtId="165" fontId="9" fillId="0" borderId="0" xfId="0" applyNumberFormat="1" applyFont="1" applyFill="1"/>
    <xf numFmtId="0" fontId="9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9" fillId="0" borderId="0" xfId="0" applyNumberFormat="1" applyFont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center"/>
    </xf>
    <xf numFmtId="167" fontId="7" fillId="0" borderId="2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7" fillId="0" borderId="0" xfId="0" applyFont="1" applyFill="1"/>
    <xf numFmtId="49" fontId="11" fillId="0" borderId="2" xfId="0" applyNumberFormat="1" applyFont="1" applyFill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left" vertical="top" wrapText="1" indent="2"/>
    </xf>
    <xf numFmtId="0" fontId="7" fillId="0" borderId="2" xfId="0" quotePrefix="1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/>
    <xf numFmtId="0" fontId="7" fillId="0" borderId="1" xfId="0" applyFont="1" applyFill="1" applyBorder="1" applyAlignment="1">
      <alignment vertical="top" wrapText="1"/>
    </xf>
    <xf numFmtId="165" fontId="9" fillId="0" borderId="1" xfId="0" applyNumberFormat="1" applyFont="1" applyBorder="1"/>
    <xf numFmtId="0" fontId="9" fillId="0" borderId="1" xfId="0" applyFont="1" applyBorder="1"/>
    <xf numFmtId="0" fontId="7" fillId="0" borderId="3" xfId="0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/>
    <xf numFmtId="0" fontId="7" fillId="3" borderId="8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5" fontId="9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 wrapText="1"/>
    </xf>
    <xf numFmtId="165" fontId="7" fillId="5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/>
    <xf numFmtId="165" fontId="8" fillId="0" borderId="1" xfId="0" applyNumberFormat="1" applyFont="1" applyBorder="1"/>
    <xf numFmtId="0" fontId="6" fillId="3" borderId="25" xfId="0" applyFont="1" applyFill="1" applyBorder="1" applyAlignment="1"/>
    <xf numFmtId="164" fontId="7" fillId="3" borderId="26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 wrapText="1"/>
    </xf>
    <xf numFmtId="165" fontId="12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/>
    </xf>
    <xf numFmtId="165" fontId="15" fillId="0" borderId="0" xfId="0" applyNumberFormat="1" applyFont="1"/>
    <xf numFmtId="0" fontId="11" fillId="3" borderId="9" xfId="0" applyFont="1" applyFill="1" applyBorder="1" applyAlignment="1"/>
    <xf numFmtId="0" fontId="11" fillId="3" borderId="11" xfId="0" applyFont="1" applyFill="1" applyBorder="1" applyAlignment="1"/>
    <xf numFmtId="165" fontId="16" fillId="0" borderId="0" xfId="0" applyNumberFormat="1" applyFont="1"/>
    <xf numFmtId="49" fontId="14" fillId="0" borderId="3" xfId="0" applyNumberFormat="1" applyFont="1" applyFill="1" applyBorder="1" applyAlignment="1">
      <alignment horizontal="left" vertical="center"/>
    </xf>
    <xf numFmtId="0" fontId="6" fillId="3" borderId="6" xfId="0" applyFont="1" applyFill="1" applyBorder="1"/>
    <xf numFmtId="164" fontId="6" fillId="3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49" fontId="14" fillId="0" borderId="6" xfId="0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/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/>
    <xf numFmtId="2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1" fillId="2" borderId="0" xfId="0" applyFont="1" applyFill="1"/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right" vertical="center" wrapText="1"/>
    </xf>
    <xf numFmtId="0" fontId="14" fillId="0" borderId="5" xfId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9" fillId="0" borderId="2" xfId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2" xfId="0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/>
    <xf numFmtId="165" fontId="7" fillId="0" borderId="0" xfId="0" applyNumberFormat="1" applyFont="1"/>
    <xf numFmtId="49" fontId="1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9" fontId="0" fillId="0" borderId="0" xfId="0" applyNumberFormat="1"/>
    <xf numFmtId="16" fontId="0" fillId="0" borderId="1" xfId="0" quotePrefix="1" applyNumberForma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5" fontId="17" fillId="0" borderId="0" xfId="0" applyNumberFormat="1" applyFont="1"/>
    <xf numFmtId="0" fontId="6" fillId="0" borderId="1" xfId="0" applyFont="1" applyFill="1" applyBorder="1"/>
    <xf numFmtId="0" fontId="6" fillId="0" borderId="1" xfId="0" applyFont="1" applyFill="1" applyBorder="1"/>
    <xf numFmtId="0" fontId="7" fillId="0" borderId="1" xfId="0" quotePrefix="1" applyFont="1" applyFill="1" applyBorder="1" applyAlignment="1">
      <alignment vertical="top" wrapText="1"/>
    </xf>
    <xf numFmtId="165" fontId="8" fillId="0" borderId="0" xfId="0" applyNumberFormat="1" applyFont="1" applyFill="1"/>
    <xf numFmtId="168" fontId="7" fillId="7" borderId="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/>
    </xf>
    <xf numFmtId="165" fontId="12" fillId="7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7" fillId="0" borderId="5" xfId="0" quotePrefix="1" applyFont="1" applyFill="1" applyBorder="1" applyAlignment="1">
      <alignment vertical="top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12" fillId="5" borderId="1" xfId="1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6" fillId="8" borderId="2" xfId="0" applyFont="1" applyFill="1" applyBorder="1" applyAlignment="1">
      <alignment vertical="top" wrapText="1"/>
    </xf>
    <xf numFmtId="0" fontId="7" fillId="0" borderId="1" xfId="0" quotePrefix="1" applyFont="1" applyFill="1" applyBorder="1" applyAlignment="1">
      <alignment horizontal="left" vertical="top" wrapText="1" indent="2"/>
    </xf>
    <xf numFmtId="170" fontId="7" fillId="0" borderId="0" xfId="0" applyNumberFormat="1" applyFont="1" applyFill="1"/>
    <xf numFmtId="165" fontId="12" fillId="5" borderId="0" xfId="1" applyNumberFormat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right" vertical="center" wrapText="1"/>
    </xf>
    <xf numFmtId="164" fontId="6" fillId="8" borderId="1" xfId="0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9" fillId="0" borderId="0" xfId="0" applyNumberFormat="1" applyFont="1" applyFill="1"/>
    <xf numFmtId="0" fontId="7" fillId="0" borderId="0" xfId="0" quotePrefix="1" applyFont="1" applyFill="1" applyBorder="1" applyAlignment="1">
      <alignment horizontal="left" vertical="top" wrapText="1" indent="1"/>
    </xf>
    <xf numFmtId="0" fontId="7" fillId="0" borderId="1" xfId="0" quotePrefix="1" applyFont="1" applyFill="1" applyBorder="1" applyAlignment="1">
      <alignment horizontal="left" vertical="top" wrapText="1" indent="1"/>
    </xf>
    <xf numFmtId="0" fontId="7" fillId="0" borderId="3" xfId="0" quotePrefix="1" applyFont="1" applyFill="1" applyBorder="1" applyAlignment="1">
      <alignment horizontal="left" vertical="top" wrapText="1" indent="1"/>
    </xf>
    <xf numFmtId="0" fontId="7" fillId="0" borderId="3" xfId="0" quotePrefix="1" applyFont="1" applyFill="1" applyBorder="1" applyAlignment="1">
      <alignment horizontal="left" vertical="top" wrapText="1" indent="2"/>
    </xf>
    <xf numFmtId="0" fontId="7" fillId="0" borderId="5" xfId="0" quotePrefix="1" applyFont="1" applyFill="1" applyBorder="1" applyAlignment="1">
      <alignment horizontal="left" vertical="top" wrapText="1"/>
    </xf>
    <xf numFmtId="0" fontId="7" fillId="0" borderId="2" xfId="0" quotePrefix="1" applyFont="1" applyFill="1" applyBorder="1" applyAlignment="1">
      <alignment vertical="top" wrapText="1"/>
    </xf>
    <xf numFmtId="0" fontId="9" fillId="0" borderId="1" xfId="1" applyFont="1" applyBorder="1" applyAlignment="1">
      <alignment horizontal="center" vertical="center" wrapText="1"/>
    </xf>
    <xf numFmtId="16" fontId="0" fillId="0" borderId="1" xfId="0" quotePrefix="1" applyNumberFormat="1" applyFont="1" applyFill="1" applyBorder="1" applyAlignment="1">
      <alignment horizontal="center" vertical="center"/>
    </xf>
    <xf numFmtId="167" fontId="7" fillId="7" borderId="2" xfId="0" applyNumberFormat="1" applyFont="1" applyFill="1" applyBorder="1" applyAlignment="1">
      <alignment horizontal="center"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165" fontId="7" fillId="7" borderId="2" xfId="0" applyNumberFormat="1" applyFont="1" applyFill="1" applyBorder="1" applyAlignment="1">
      <alignment horizontal="center" vertical="center"/>
    </xf>
    <xf numFmtId="168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3" fontId="18" fillId="0" borderId="0" xfId="2" applyNumberFormat="1" applyBorder="1" applyAlignment="1">
      <alignment horizontal="center" vertical="center"/>
    </xf>
    <xf numFmtId="3" fontId="18" fillId="0" borderId="0" xfId="2" applyNumberFormat="1" applyBorder="1" applyAlignment="1">
      <alignment vertical="center" wrapText="1"/>
    </xf>
    <xf numFmtId="167" fontId="19" fillId="0" borderId="0" xfId="2" applyNumberFormat="1" applyFont="1" applyBorder="1" applyAlignment="1">
      <alignment horizontal="center" vertical="center"/>
    </xf>
    <xf numFmtId="3" fontId="18" fillId="0" borderId="0" xfId="2" applyNumberFormat="1" applyFont="1" applyBorder="1" applyAlignment="1">
      <alignment horizontal="center" vertical="center"/>
    </xf>
    <xf numFmtId="3" fontId="18" fillId="0" borderId="0" xfId="2" applyNumberFormat="1" applyBorder="1" applyAlignment="1">
      <alignment horizontal="right" vertical="center"/>
    </xf>
    <xf numFmtId="0" fontId="18" fillId="0" borderId="0" xfId="2"/>
    <xf numFmtId="0" fontId="18" fillId="0" borderId="0" xfId="2" applyBorder="1" applyAlignment="1">
      <alignment vertical="center"/>
    </xf>
    <xf numFmtId="167" fontId="18" fillId="0" borderId="0" xfId="2" applyNumberFormat="1" applyBorder="1" applyAlignment="1">
      <alignment vertical="center"/>
    </xf>
    <xf numFmtId="0" fontId="18" fillId="0" borderId="0" xfId="2" applyFont="1" applyBorder="1" applyAlignment="1">
      <alignment vertical="center"/>
    </xf>
    <xf numFmtId="3" fontId="19" fillId="0" borderId="0" xfId="2" applyNumberFormat="1" applyFont="1" applyBorder="1" applyAlignment="1">
      <alignment horizontal="center" vertical="center" wrapText="1"/>
    </xf>
    <xf numFmtId="167" fontId="24" fillId="0" borderId="0" xfId="2" applyNumberFormat="1" applyFont="1"/>
    <xf numFmtId="167" fontId="23" fillId="0" borderId="0" xfId="2" applyNumberFormat="1" applyFont="1" applyAlignment="1">
      <alignment horizontal="center"/>
    </xf>
    <xf numFmtId="167" fontId="19" fillId="0" borderId="0" xfId="2" applyNumberFormat="1" applyFont="1" applyBorder="1" applyAlignment="1">
      <alignment horizontal="center" vertical="center" wrapText="1"/>
    </xf>
    <xf numFmtId="3" fontId="25" fillId="0" borderId="9" xfId="2" applyNumberFormat="1" applyFont="1" applyBorder="1" applyAlignment="1">
      <alignment horizontal="left" vertical="center"/>
    </xf>
    <xf numFmtId="3" fontId="26" fillId="0" borderId="11" xfId="2" applyNumberFormat="1" applyFont="1" applyFill="1" applyBorder="1" applyAlignment="1">
      <alignment horizontal="left" vertical="center" wrapText="1"/>
    </xf>
    <xf numFmtId="167" fontId="26" fillId="0" borderId="11" xfId="2" applyNumberFormat="1" applyFont="1" applyFill="1" applyBorder="1" applyAlignment="1">
      <alignment horizontal="left" vertical="center" wrapText="1"/>
    </xf>
    <xf numFmtId="3" fontId="25" fillId="0" borderId="11" xfId="2" applyNumberFormat="1" applyFont="1" applyBorder="1" applyAlignment="1">
      <alignment horizontal="left" vertical="center"/>
    </xf>
    <xf numFmtId="3" fontId="25" fillId="0" borderId="10" xfId="2" applyNumberFormat="1" applyFont="1" applyBorder="1" applyAlignment="1">
      <alignment horizontal="left" vertical="center"/>
    </xf>
    <xf numFmtId="3" fontId="26" fillId="0" borderId="1" xfId="2" applyNumberFormat="1" applyFont="1" applyFill="1" applyBorder="1" applyAlignment="1">
      <alignment horizontal="center" vertical="center" wrapText="1"/>
    </xf>
    <xf numFmtId="0" fontId="27" fillId="0" borderId="0" xfId="2" applyFont="1"/>
    <xf numFmtId="3" fontId="19" fillId="0" borderId="1" xfId="2" applyNumberFormat="1" applyFont="1" applyBorder="1" applyAlignment="1">
      <alignment horizontal="center" vertical="center"/>
    </xf>
    <xf numFmtId="3" fontId="26" fillId="0" borderId="11" xfId="2" applyNumberFormat="1" applyFont="1" applyBorder="1" applyAlignment="1">
      <alignment vertical="center" wrapText="1"/>
    </xf>
    <xf numFmtId="3" fontId="26" fillId="0" borderId="10" xfId="2" applyNumberFormat="1" applyFont="1" applyBorder="1" applyAlignment="1">
      <alignment vertical="center" wrapText="1"/>
    </xf>
    <xf numFmtId="3" fontId="18" fillId="0" borderId="31" xfId="2" applyNumberFormat="1" applyBorder="1" applyAlignment="1">
      <alignment horizontal="center" vertical="center"/>
    </xf>
    <xf numFmtId="0" fontId="28" fillId="0" borderId="0" xfId="2" applyFont="1" applyFill="1" applyBorder="1" applyAlignment="1">
      <alignment horizontal="left"/>
    </xf>
    <xf numFmtId="167" fontId="28" fillId="0" borderId="0" xfId="2" applyNumberFormat="1" applyFont="1" applyFill="1" applyBorder="1"/>
    <xf numFmtId="0" fontId="28" fillId="0" borderId="0" xfId="2" applyFont="1" applyFill="1" applyBorder="1" applyAlignment="1">
      <alignment horizontal="center"/>
    </xf>
    <xf numFmtId="3" fontId="29" fillId="0" borderId="0" xfId="2" applyNumberFormat="1" applyFont="1" applyFill="1" applyBorder="1" applyAlignment="1">
      <alignment horizontal="center"/>
    </xf>
    <xf numFmtId="3" fontId="30" fillId="0" borderId="0" xfId="2" applyNumberFormat="1" applyFont="1" applyBorder="1" applyAlignment="1">
      <alignment horizontal="center" vertical="center" wrapText="1"/>
    </xf>
    <xf numFmtId="3" fontId="18" fillId="0" borderId="0" xfId="2" applyNumberFormat="1" applyAlignment="1">
      <alignment vertical="center" wrapText="1"/>
    </xf>
    <xf numFmtId="3" fontId="18" fillId="0" borderId="0" xfId="2" applyNumberFormat="1" applyBorder="1" applyAlignment="1">
      <alignment horizontal="center" vertical="center" wrapText="1"/>
    </xf>
    <xf numFmtId="167" fontId="18" fillId="0" borderId="0" xfId="2" applyNumberFormat="1" applyBorder="1" applyAlignment="1">
      <alignment horizontal="center" vertical="center" wrapText="1"/>
    </xf>
    <xf numFmtId="3" fontId="18" fillId="0" borderId="0" xfId="2" applyNumberFormat="1" applyFont="1" applyBorder="1" applyAlignment="1">
      <alignment horizontal="center" vertical="center" wrapText="1"/>
    </xf>
    <xf numFmtId="0" fontId="18" fillId="0" borderId="0" xfId="2" applyBorder="1"/>
    <xf numFmtId="3" fontId="32" fillId="0" borderId="3" xfId="2" applyNumberFormat="1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center" vertical="center" wrapText="1"/>
    </xf>
    <xf numFmtId="167" fontId="26" fillId="0" borderId="3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3" fontId="18" fillId="0" borderId="1" xfId="2" applyNumberFormat="1" applyBorder="1" applyAlignment="1">
      <alignment horizontal="left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3" fontId="19" fillId="0" borderId="5" xfId="2" applyNumberFormat="1" applyFont="1" applyFill="1" applyBorder="1" applyAlignment="1">
      <alignment vertical="center" wrapText="1"/>
    </xf>
    <xf numFmtId="167" fontId="19" fillId="0" borderId="1" xfId="2" applyNumberFormat="1" applyFont="1" applyBorder="1" applyAlignment="1">
      <alignment horizontal="center"/>
    </xf>
    <xf numFmtId="0" fontId="19" fillId="0" borderId="1" xfId="2" applyFont="1" applyBorder="1"/>
    <xf numFmtId="3" fontId="19" fillId="0" borderId="0" xfId="2" applyNumberFormat="1" applyFont="1" applyFill="1" applyBorder="1" applyAlignment="1">
      <alignment horizontal="center" vertical="center" wrapText="1"/>
    </xf>
    <xf numFmtId="3" fontId="26" fillId="0" borderId="0" xfId="2" applyNumberFormat="1" applyFont="1" applyFill="1" applyBorder="1" applyAlignment="1">
      <alignment horizontal="left" vertical="center" wrapText="1"/>
    </xf>
    <xf numFmtId="167" fontId="26" fillId="0" borderId="0" xfId="2" applyNumberFormat="1" applyFont="1" applyFill="1" applyBorder="1" applyAlignment="1">
      <alignment horizontal="center" vertical="center" wrapText="1"/>
    </xf>
    <xf numFmtId="3" fontId="26" fillId="0" borderId="0" xfId="2" applyNumberFormat="1" applyFont="1" applyFill="1" applyBorder="1" applyAlignment="1">
      <alignment horizontal="center" vertical="center" wrapText="1"/>
    </xf>
    <xf numFmtId="167" fontId="26" fillId="0" borderId="0" xfId="2" applyNumberFormat="1" applyFont="1" applyFill="1" applyBorder="1" applyAlignment="1">
      <alignment horizontal="left" vertical="center" wrapText="1"/>
    </xf>
    <xf numFmtId="3" fontId="26" fillId="0" borderId="0" xfId="2" applyNumberFormat="1" applyFont="1" applyBorder="1" applyAlignment="1">
      <alignment horizontal="center" vertical="center" wrapText="1"/>
    </xf>
    <xf numFmtId="0" fontId="18" fillId="0" borderId="0" xfId="2" applyFill="1"/>
    <xf numFmtId="1" fontId="33" fillId="0" borderId="0" xfId="2" applyNumberFormat="1" applyFont="1" applyFill="1" applyBorder="1" applyAlignment="1">
      <alignment horizontal="center"/>
    </xf>
    <xf numFmtId="3" fontId="33" fillId="0" borderId="0" xfId="2" applyNumberFormat="1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center"/>
    </xf>
    <xf numFmtId="3" fontId="35" fillId="0" borderId="0" xfId="2" applyNumberFormat="1" applyFont="1" applyFill="1" applyAlignment="1">
      <alignment horizontal="center" vertical="center"/>
    </xf>
    <xf numFmtId="3" fontId="19" fillId="0" borderId="1" xfId="2" applyNumberFormat="1" applyFont="1" applyBorder="1" applyAlignment="1">
      <alignment vertical="center" wrapText="1"/>
    </xf>
    <xf numFmtId="3" fontId="19" fillId="0" borderId="1" xfId="2" applyNumberFormat="1" applyFont="1" applyBorder="1" applyAlignment="1">
      <alignment horizontal="left" vertical="justify" wrapText="1"/>
    </xf>
    <xf numFmtId="3" fontId="18" fillId="0" borderId="0" xfId="2" applyNumberFormat="1" applyAlignment="1">
      <alignment horizontal="center" vertical="center"/>
    </xf>
    <xf numFmtId="167" fontId="36" fillId="0" borderId="0" xfId="2" applyNumberFormat="1" applyFont="1" applyFill="1" applyBorder="1"/>
    <xf numFmtId="1" fontId="33" fillId="0" borderId="0" xfId="2" applyNumberFormat="1" applyFont="1" applyFill="1" applyBorder="1"/>
    <xf numFmtId="0" fontId="28" fillId="0" borderId="0" xfId="2" applyFont="1" applyFill="1" applyBorder="1"/>
    <xf numFmtId="1" fontId="33" fillId="0" borderId="0" xfId="2" applyNumberFormat="1" applyFont="1" applyBorder="1" applyAlignment="1">
      <alignment horizontal="center"/>
    </xf>
    <xf numFmtId="0" fontId="33" fillId="0" borderId="0" xfId="2" applyFont="1" applyBorder="1" applyAlignment="1">
      <alignment horizontal="center"/>
    </xf>
    <xf numFmtId="3" fontId="33" fillId="0" borderId="0" xfId="2" applyNumberFormat="1" applyFont="1" applyBorder="1" applyAlignment="1">
      <alignment horizontal="center"/>
    </xf>
    <xf numFmtId="167" fontId="28" fillId="0" borderId="0" xfId="2" applyNumberFormat="1" applyFont="1" applyBorder="1"/>
    <xf numFmtId="0" fontId="33" fillId="0" borderId="0" xfId="2" applyFont="1" applyBorder="1" applyAlignment="1">
      <alignment horizontal="right"/>
    </xf>
    <xf numFmtId="1" fontId="33" fillId="0" borderId="0" xfId="2" applyNumberFormat="1" applyFont="1" applyBorder="1"/>
    <xf numFmtId="0" fontId="37" fillId="0" borderId="0" xfId="2" applyFont="1" applyFill="1" applyBorder="1" applyAlignment="1">
      <alignment horizontal="left"/>
    </xf>
    <xf numFmtId="0" fontId="28" fillId="0" borderId="0" xfId="2" applyFont="1" applyBorder="1"/>
    <xf numFmtId="1" fontId="38" fillId="0" borderId="0" xfId="2" applyNumberFormat="1" applyFont="1" applyBorder="1"/>
    <xf numFmtId="0" fontId="38" fillId="0" borderId="0" xfId="2" applyFont="1" applyBorder="1" applyAlignment="1">
      <alignment horizontal="center"/>
    </xf>
    <xf numFmtId="3" fontId="39" fillId="0" borderId="0" xfId="2" applyNumberFormat="1" applyFont="1" applyBorder="1" applyAlignment="1">
      <alignment horizontal="center"/>
    </xf>
    <xf numFmtId="0" fontId="40" fillId="0" borderId="0" xfId="2" applyFont="1" applyFill="1" applyBorder="1" applyAlignment="1">
      <alignment horizontal="left"/>
    </xf>
    <xf numFmtId="167" fontId="40" fillId="0" borderId="0" xfId="2" applyNumberFormat="1" applyFont="1" applyBorder="1"/>
    <xf numFmtId="0" fontId="41" fillId="0" borderId="0" xfId="2" applyFont="1" applyBorder="1"/>
    <xf numFmtId="167" fontId="42" fillId="0" borderId="0" xfId="2" applyNumberFormat="1" applyFont="1" applyFill="1" applyBorder="1"/>
    <xf numFmtId="3" fontId="18" fillId="0" borderId="0" xfId="2" applyNumberFormat="1" applyFont="1" applyAlignment="1">
      <alignment horizontal="center" vertical="center"/>
    </xf>
    <xf numFmtId="3" fontId="18" fillId="0" borderId="0" xfId="2" applyNumberFormat="1" applyAlignment="1">
      <alignment horizontal="right" vertical="center"/>
    </xf>
    <xf numFmtId="167" fontId="19" fillId="0" borderId="0" xfId="2" applyNumberFormat="1" applyFont="1" applyAlignment="1">
      <alignment horizontal="center" vertical="center"/>
    </xf>
    <xf numFmtId="0" fontId="43" fillId="0" borderId="0" xfId="2" applyFont="1" applyFill="1" applyBorder="1" applyAlignment="1">
      <alignment horizontal="center"/>
    </xf>
    <xf numFmtId="1" fontId="43" fillId="0" borderId="0" xfId="2" applyNumberFormat="1" applyFont="1" applyFill="1" applyBorder="1" applyAlignment="1">
      <alignment horizontal="center"/>
    </xf>
    <xf numFmtId="1" fontId="44" fillId="0" borderId="0" xfId="2" applyNumberFormat="1" applyFont="1" applyBorder="1" applyAlignment="1">
      <alignment horizontal="center"/>
    </xf>
    <xf numFmtId="0" fontId="43" fillId="0" borderId="0" xfId="2" applyFont="1" applyBorder="1" applyAlignment="1">
      <alignment horizontal="center"/>
    </xf>
    <xf numFmtId="0" fontId="45" fillId="0" borderId="0" xfId="3"/>
    <xf numFmtId="0" fontId="24" fillId="0" borderId="0" xfId="3" applyFont="1" applyAlignment="1">
      <alignment horizontal="left"/>
    </xf>
    <xf numFmtId="0" fontId="45" fillId="0" borderId="0" xfId="3" applyAlignment="1">
      <alignment wrapText="1"/>
    </xf>
    <xf numFmtId="0" fontId="46" fillId="0" borderId="0" xfId="3" applyFont="1"/>
    <xf numFmtId="3" fontId="46" fillId="0" borderId="0" xfId="4" applyNumberFormat="1" applyFont="1" applyAlignment="1">
      <alignment horizontal="center"/>
    </xf>
    <xf numFmtId="0" fontId="45" fillId="0" borderId="0" xfId="3" applyAlignment="1">
      <alignment horizontal="center" vertical="top"/>
    </xf>
    <xf numFmtId="165" fontId="45" fillId="0" borderId="0" xfId="3" applyNumberFormat="1" applyAlignment="1"/>
    <xf numFmtId="1" fontId="45" fillId="0" borderId="0" xfId="3" applyNumberFormat="1"/>
    <xf numFmtId="1" fontId="46" fillId="0" borderId="0" xfId="3" applyNumberFormat="1" applyFont="1"/>
    <xf numFmtId="0" fontId="46" fillId="0" borderId="0" xfId="3" applyFont="1" applyAlignment="1">
      <alignment horizontal="left"/>
    </xf>
    <xf numFmtId="0" fontId="24" fillId="0" borderId="0" xfId="3" applyFont="1" applyAlignment="1">
      <alignment horizontal="left" vertical="top"/>
    </xf>
    <xf numFmtId="0" fontId="46" fillId="0" borderId="0" xfId="3" applyFont="1" applyAlignment="1">
      <alignment wrapText="1"/>
    </xf>
    <xf numFmtId="166" fontId="46" fillId="0" borderId="0" xfId="3" applyNumberFormat="1" applyFont="1" applyAlignment="1">
      <alignment wrapText="1"/>
    </xf>
    <xf numFmtId="171" fontId="46" fillId="0" borderId="0" xfId="3" applyNumberFormat="1" applyFont="1" applyAlignment="1">
      <alignment wrapText="1"/>
    </xf>
    <xf numFmtId="1" fontId="46" fillId="0" borderId="0" xfId="3" applyNumberFormat="1" applyFont="1" applyAlignment="1">
      <alignment wrapText="1"/>
    </xf>
    <xf numFmtId="2" fontId="46" fillId="0" borderId="0" xfId="3" applyNumberFormat="1" applyFont="1" applyAlignment="1">
      <alignment wrapText="1"/>
    </xf>
    <xf numFmtId="0" fontId="45" fillId="0" borderId="0" xfId="3" applyBorder="1" applyAlignment="1">
      <alignment wrapText="1"/>
    </xf>
    <xf numFmtId="0" fontId="45" fillId="0" borderId="0" xfId="3" applyAlignment="1">
      <alignment horizontal="right"/>
    </xf>
    <xf numFmtId="165" fontId="45" fillId="0" borderId="0" xfId="3" applyNumberFormat="1"/>
    <xf numFmtId="165" fontId="11" fillId="9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/>
    <xf numFmtId="0" fontId="49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quotePrefix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top" wrapText="1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165" fontId="9" fillId="0" borderId="3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right" vertical="center" wrapText="1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9" fontId="0" fillId="0" borderId="20" xfId="0" applyNumberFormat="1" applyFill="1" applyBorder="1" applyProtection="1"/>
    <xf numFmtId="3" fontId="26" fillId="0" borderId="11" xfId="2" applyNumberFormat="1" applyFont="1" applyFill="1" applyBorder="1" applyAlignment="1">
      <alignment horizontal="left" vertical="center" wrapText="1"/>
    </xf>
    <xf numFmtId="3" fontId="26" fillId="0" borderId="1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Fill="1" applyBorder="1" applyAlignment="1">
      <alignment horizontal="center" vertical="center" wrapText="1"/>
    </xf>
    <xf numFmtId="3" fontId="31" fillId="0" borderId="0" xfId="2" applyNumberFormat="1" applyFont="1" applyBorder="1" applyAlignment="1">
      <alignment horizontal="center" vertical="center" wrapText="1"/>
    </xf>
    <xf numFmtId="3" fontId="26" fillId="0" borderId="11" xfId="2" applyNumberFormat="1" applyFont="1" applyFill="1" applyBorder="1" applyAlignment="1">
      <alignment horizontal="left" vertical="center" wrapText="1"/>
    </xf>
    <xf numFmtId="0" fontId="6" fillId="0" borderId="8" xfId="0" applyFont="1" applyBorder="1"/>
    <xf numFmtId="0" fontId="51" fillId="0" borderId="0" xfId="6"/>
    <xf numFmtId="3" fontId="19" fillId="0" borderId="1" xfId="2" applyNumberFormat="1" applyFont="1" applyFill="1" applyBorder="1" applyAlignment="1">
      <alignment vertical="center" wrapText="1"/>
    </xf>
    <xf numFmtId="167" fontId="19" fillId="0" borderId="1" xfId="2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3" fontId="69" fillId="0" borderId="1" xfId="2" applyNumberFormat="1" applyFont="1" applyFill="1" applyBorder="1" applyAlignment="1">
      <alignment horizontal="center" vertical="center" wrapText="1"/>
    </xf>
    <xf numFmtId="3" fontId="19" fillId="0" borderId="11" xfId="2" applyNumberFormat="1" applyFont="1" applyBorder="1" applyAlignment="1">
      <alignment vertical="center" wrapText="1"/>
    </xf>
    <xf numFmtId="3" fontId="19" fillId="0" borderId="10" xfId="2" applyNumberFormat="1" applyFont="1" applyBorder="1" applyAlignment="1">
      <alignment vertical="center" wrapText="1"/>
    </xf>
    <xf numFmtId="0" fontId="45" fillId="0" borderId="1" xfId="3" applyBorder="1" applyAlignment="1">
      <alignment horizontal="center"/>
    </xf>
    <xf numFmtId="0" fontId="45" fillId="0" borderId="1" xfId="3" applyBorder="1" applyAlignment="1">
      <alignment horizontal="center" wrapText="1"/>
    </xf>
    <xf numFmtId="0" fontId="46" fillId="0" borderId="1" xfId="3" applyFont="1" applyBorder="1" applyAlignment="1">
      <alignment horizontal="center"/>
    </xf>
    <xf numFmtId="3" fontId="46" fillId="0" borderId="1" xfId="4" applyNumberFormat="1" applyFont="1" applyBorder="1" applyAlignment="1">
      <alignment horizontal="center" wrapText="1"/>
    </xf>
    <xf numFmtId="0" fontId="45" fillId="0" borderId="1" xfId="3" applyBorder="1" applyAlignment="1">
      <alignment wrapText="1"/>
    </xf>
    <xf numFmtId="3" fontId="26" fillId="0" borderId="9" xfId="2" applyNumberFormat="1" applyFont="1" applyFill="1" applyBorder="1" applyAlignment="1">
      <alignment horizontal="left" vertical="center" wrapText="1"/>
    </xf>
    <xf numFmtId="3" fontId="26" fillId="0" borderId="10" xfId="2" applyNumberFormat="1" applyFont="1" applyFill="1" applyBorder="1" applyAlignment="1">
      <alignment horizontal="left" vertical="center" wrapText="1"/>
    </xf>
    <xf numFmtId="3" fontId="69" fillId="0" borderId="9" xfId="2" applyNumberFormat="1" applyFont="1" applyFill="1" applyBorder="1" applyAlignment="1">
      <alignment horizontal="left" vertical="center" wrapText="1" indent="4"/>
    </xf>
    <xf numFmtId="3" fontId="69" fillId="0" borderId="11" xfId="2" applyNumberFormat="1" applyFont="1" applyFill="1" applyBorder="1" applyAlignment="1">
      <alignment horizontal="left" vertical="center" wrapText="1" indent="4"/>
    </xf>
    <xf numFmtId="3" fontId="69" fillId="0" borderId="10" xfId="2" applyNumberFormat="1" applyFont="1" applyFill="1" applyBorder="1" applyAlignment="1">
      <alignment horizontal="left" vertical="center" wrapText="1" indent="4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3" fontId="26" fillId="0" borderId="11" xfId="2" applyNumberFormat="1" applyFont="1" applyFill="1" applyBorder="1" applyAlignment="1">
      <alignment horizontal="left" vertical="center" wrapText="1"/>
    </xf>
    <xf numFmtId="3" fontId="26" fillId="0" borderId="1" xfId="2" applyNumberFormat="1" applyFont="1" applyFill="1" applyBorder="1" applyAlignment="1">
      <alignment horizontal="center" vertical="center" wrapText="1"/>
    </xf>
    <xf numFmtId="3" fontId="26" fillId="0" borderId="9" xfId="2" applyNumberFormat="1" applyFont="1" applyFill="1" applyBorder="1" applyAlignment="1">
      <alignment horizontal="center" vertical="center" wrapText="1"/>
    </xf>
    <xf numFmtId="3" fontId="26" fillId="0" borderId="10" xfId="2" applyNumberFormat="1" applyFont="1" applyFill="1" applyBorder="1" applyAlignment="1">
      <alignment horizontal="center" vertical="center" wrapText="1"/>
    </xf>
    <xf numFmtId="3" fontId="31" fillId="0" borderId="0" xfId="2" applyNumberFormat="1" applyFont="1" applyBorder="1" applyAlignment="1">
      <alignment horizontal="center" vertical="center" wrapText="1"/>
    </xf>
    <xf numFmtId="3" fontId="19" fillId="0" borderId="0" xfId="2" applyNumberFormat="1" applyFont="1" applyBorder="1" applyAlignment="1">
      <alignment horizontal="left" vertical="center" wrapText="1"/>
    </xf>
    <xf numFmtId="3" fontId="18" fillId="0" borderId="0" xfId="2" applyNumberFormat="1" applyAlignment="1">
      <alignment horizontal="center" vertical="center" wrapText="1"/>
    </xf>
    <xf numFmtId="3" fontId="20" fillId="0" borderId="21" xfId="2" applyNumberFormat="1" applyFont="1" applyFill="1" applyBorder="1" applyAlignment="1">
      <alignment horizontal="center" vertical="center"/>
    </xf>
    <xf numFmtId="3" fontId="20" fillId="0" borderId="22" xfId="2" applyNumberFormat="1" applyFont="1" applyFill="1" applyBorder="1" applyAlignment="1">
      <alignment horizontal="center" vertical="center"/>
    </xf>
    <xf numFmtId="3" fontId="20" fillId="0" borderId="24" xfId="2" applyNumberFormat="1" applyFont="1" applyFill="1" applyBorder="1" applyAlignment="1">
      <alignment horizontal="center" vertical="center"/>
    </xf>
    <xf numFmtId="3" fontId="26" fillId="0" borderId="1" xfId="2" applyNumberFormat="1" applyFont="1" applyBorder="1" applyAlignment="1">
      <alignment horizontal="left" vertical="center" wrapText="1"/>
    </xf>
    <xf numFmtId="3" fontId="19" fillId="0" borderId="1" xfId="2" applyNumberFormat="1" applyFont="1" applyBorder="1" applyAlignment="1">
      <alignment horizontal="left" vertical="center" wrapText="1"/>
    </xf>
    <xf numFmtId="3" fontId="26" fillId="0" borderId="9" xfId="2" applyNumberFormat="1" applyFont="1" applyBorder="1" applyAlignment="1">
      <alignment horizontal="left" vertical="center" wrapText="1"/>
    </xf>
    <xf numFmtId="3" fontId="26" fillId="0" borderId="11" xfId="2" applyNumberFormat="1" applyFont="1" applyBorder="1" applyAlignment="1">
      <alignment horizontal="left" vertical="center" wrapText="1"/>
    </xf>
    <xf numFmtId="167" fontId="22" fillId="0" borderId="0" xfId="2" applyNumberFormat="1" applyFont="1" applyAlignment="1">
      <alignment horizontal="center"/>
    </xf>
    <xf numFmtId="3" fontId="20" fillId="0" borderId="0" xfId="2" applyNumberFormat="1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167" fontId="21" fillId="0" borderId="0" xfId="2" applyNumberFormat="1" applyFont="1" applyAlignment="1">
      <alignment horizontal="center" wrapText="1"/>
    </xf>
    <xf numFmtId="167" fontId="23" fillId="0" borderId="0" xfId="2" applyNumberFormat="1" applyFont="1" applyAlignment="1">
      <alignment horizontal="center"/>
    </xf>
    <xf numFmtId="3" fontId="26" fillId="0" borderId="9" xfId="2" applyNumberFormat="1" applyFont="1" applyBorder="1" applyAlignment="1">
      <alignment horizontal="left" vertical="center" wrapText="1" indent="1"/>
    </xf>
    <xf numFmtId="3" fontId="26" fillId="0" borderId="11" xfId="2" applyNumberFormat="1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48">
    <cellStyle name="20% - 1. jelölőszín 2" xfId="7"/>
    <cellStyle name="20% - 2. jelölőszín 2" xfId="8"/>
    <cellStyle name="20% - 3. jelölőszín 2" xfId="9"/>
    <cellStyle name="20% - 4. jelölőszín 2" xfId="10"/>
    <cellStyle name="20% - 5. jelölőszín 2" xfId="11"/>
    <cellStyle name="20% - 6. jelölőszín 2" xfId="12"/>
    <cellStyle name="40% - 1. jelölőszín 2" xfId="13"/>
    <cellStyle name="40% - 2. jelölőszín 2" xfId="14"/>
    <cellStyle name="40% - 3. jelölőszín 2" xfId="15"/>
    <cellStyle name="40% - 4. jelölőszín 2" xfId="16"/>
    <cellStyle name="40% - 5. jelölőszín 2" xfId="17"/>
    <cellStyle name="40% - 6. jelölőszín 2" xfId="18"/>
    <cellStyle name="60% - 1. jelölőszín 2" xfId="19"/>
    <cellStyle name="60% - 2. jelölőszín 2" xfId="20"/>
    <cellStyle name="60% - 3. jelölőszín 2" xfId="21"/>
    <cellStyle name="60% - 4. jelölőszín 2" xfId="22"/>
    <cellStyle name="60% - 5. jelölőszín 2" xfId="23"/>
    <cellStyle name="60% - 6. jelölőszín 2" xfId="24"/>
    <cellStyle name="Bevitel 2" xfId="25"/>
    <cellStyle name="Cím 2" xfId="26"/>
    <cellStyle name="Címsor 1 2" xfId="27"/>
    <cellStyle name="Címsor 2 2" xfId="28"/>
    <cellStyle name="Címsor 3 2" xfId="29"/>
    <cellStyle name="Címsor 4 2" xfId="30"/>
    <cellStyle name="Ellenőrzőcella 2" xfId="31"/>
    <cellStyle name="Ezres 2" xfId="4"/>
    <cellStyle name="Figyelmeztetés 2" xfId="32"/>
    <cellStyle name="Hivatkozott cella 2" xfId="33"/>
    <cellStyle name="Jegyzet 2" xfId="34"/>
    <cellStyle name="Jelölőszín (1) 2" xfId="35"/>
    <cellStyle name="Jelölőszín (2)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1"/>
    <cellStyle name="Normál 3" xfId="2"/>
    <cellStyle name="Normál 4" xfId="3"/>
    <cellStyle name="Normál 5" xfId="6"/>
    <cellStyle name="Összesen 2" xfId="44"/>
    <cellStyle name="Pénznem 2" xfId="5"/>
    <cellStyle name="Rossz 2" xfId="45"/>
    <cellStyle name="Semleges 2" xfId="46"/>
    <cellStyle name="Számítás 2" xfId="47"/>
  </cellStyles>
  <dxfs count="0"/>
  <tableStyles count="0" defaultTableStyle="TableStyleMedium2" defaultPivotStyle="PivotStyleLight16"/>
  <colors>
    <mruColors>
      <color rgb="FFFFFFCC"/>
      <color rgb="FFFF66CC"/>
      <color rgb="FFE3CB1D"/>
      <color rgb="FF286A28"/>
      <color rgb="FF379137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E14" sqref="E14"/>
    </sheetView>
  </sheetViews>
  <sheetFormatPr defaultRowHeight="15"/>
  <cols>
    <col min="1" max="1" width="5.28515625" customWidth="1"/>
    <col min="2" max="2" width="73.42578125" bestFit="1" customWidth="1"/>
    <col min="3" max="3" width="9.5703125" customWidth="1"/>
    <col min="4" max="4" width="9.7109375" customWidth="1"/>
    <col min="5" max="5" width="13.85546875" customWidth="1"/>
  </cols>
  <sheetData>
    <row r="1" spans="1:11" ht="16.5">
      <c r="A1" s="17" t="s">
        <v>265</v>
      </c>
      <c r="B1" s="18"/>
    </row>
    <row r="2" spans="1:11" ht="16.5">
      <c r="A2" s="23" t="s">
        <v>264</v>
      </c>
      <c r="B2" s="18"/>
    </row>
    <row r="3" spans="1:11" ht="16.5">
      <c r="A3" s="24" t="s">
        <v>373</v>
      </c>
      <c r="B3" s="18"/>
    </row>
    <row r="4" spans="1:11" ht="16.5">
      <c r="A4" s="23" t="s">
        <v>86</v>
      </c>
      <c r="B4" s="25"/>
    </row>
    <row r="7" spans="1:11" ht="44.25" customHeight="1">
      <c r="A7" s="278"/>
      <c r="B7" s="448" t="s">
        <v>429</v>
      </c>
      <c r="C7" s="449"/>
      <c r="D7" s="430" t="s">
        <v>271</v>
      </c>
      <c r="E7" s="430" t="s">
        <v>272</v>
      </c>
      <c r="F7" s="279"/>
      <c r="G7" s="279"/>
      <c r="H7" s="279"/>
      <c r="I7" s="279"/>
    </row>
    <row r="8" spans="1:11" ht="20.100000000000001" customHeight="1">
      <c r="A8" s="133" t="s">
        <v>1</v>
      </c>
      <c r="B8" s="44" t="s">
        <v>430</v>
      </c>
      <c r="C8" s="280"/>
      <c r="D8" s="282">
        <f>KIV_körny_I_Ütem!D8+KIV_körny_I_Ütem!D9+KIV_körny_I_Ütem!D10+KIV_körny_I_Ütem!D11+KIV_körny_I_Ütem!D12</f>
        <v>0</v>
      </c>
      <c r="E8" s="282">
        <f>KIV_körny_I_Ütem!E8+KIV_körny_I_Ütem!E9+KIV_körny_I_Ütem!E10+KIV_körny_I_Ütem!E11+KIV_körny_I_Ütem!E12</f>
        <v>0</v>
      </c>
      <c r="F8" s="279"/>
      <c r="G8" s="279"/>
      <c r="H8" s="279"/>
      <c r="I8" s="279"/>
    </row>
    <row r="9" spans="1:11" ht="20.100000000000001" customHeight="1">
      <c r="A9" s="133" t="s">
        <v>2</v>
      </c>
      <c r="B9" s="44" t="s">
        <v>431</v>
      </c>
      <c r="C9" s="280"/>
      <c r="D9" s="282">
        <f>ELETROMOS!G19</f>
        <v>0</v>
      </c>
      <c r="E9" s="282">
        <f>ELETROMOS!H19</f>
        <v>0</v>
      </c>
      <c r="F9" s="279"/>
      <c r="G9" s="279"/>
      <c r="H9" s="279"/>
      <c r="I9" s="279"/>
    </row>
    <row r="10" spans="1:11" ht="20.100000000000001" customHeight="1">
      <c r="A10" s="133" t="s">
        <v>3</v>
      </c>
      <c r="B10" s="44" t="s">
        <v>432</v>
      </c>
      <c r="C10" s="280"/>
      <c r="D10" s="282">
        <f>VÍZ!G70</f>
        <v>0</v>
      </c>
      <c r="E10" s="282">
        <f>VÍZ!H70</f>
        <v>0</v>
      </c>
      <c r="F10" s="279"/>
      <c r="G10" s="279"/>
      <c r="H10" s="279"/>
      <c r="I10" s="279"/>
    </row>
    <row r="11" spans="1:11" ht="20.100000000000001" customHeight="1">
      <c r="A11" s="437" t="s">
        <v>4</v>
      </c>
      <c r="B11" s="433" t="s">
        <v>390</v>
      </c>
      <c r="C11" s="438"/>
      <c r="D11" s="439">
        <f>STÉG!G21</f>
        <v>0</v>
      </c>
      <c r="E11" s="439">
        <f>STÉG!H21</f>
        <v>0</v>
      </c>
      <c r="F11" s="279"/>
      <c r="G11" s="279"/>
      <c r="H11" s="279"/>
      <c r="I11" s="279"/>
    </row>
    <row r="12" spans="1:11" ht="20.100000000000001" customHeight="1">
      <c r="A12" s="45"/>
      <c r="B12" s="52" t="s">
        <v>5</v>
      </c>
      <c r="C12" s="53"/>
      <c r="D12" s="55">
        <f>SUM(D8:D11)</f>
        <v>0</v>
      </c>
      <c r="E12" s="55">
        <f>SUM(E8:E11)</f>
        <v>0</v>
      </c>
    </row>
    <row r="13" spans="1:11" ht="20.100000000000001" customHeight="1">
      <c r="A13" s="189"/>
      <c r="B13" s="190" t="s">
        <v>6</v>
      </c>
      <c r="C13" s="191"/>
      <c r="D13" s="192"/>
      <c r="E13" s="388">
        <f>(E12+D12)*0.27</f>
        <v>0</v>
      </c>
    </row>
    <row r="14" spans="1:11" ht="20.100000000000001" customHeight="1">
      <c r="A14" s="45"/>
      <c r="B14" s="52" t="s">
        <v>7</v>
      </c>
      <c r="C14" s="53"/>
      <c r="D14" s="54"/>
      <c r="E14" s="55">
        <f>E12+E13+D12</f>
        <v>0</v>
      </c>
      <c r="J14" s="279"/>
      <c r="K14" s="279"/>
    </row>
    <row r="15" spans="1:11">
      <c r="J15" s="279"/>
      <c r="K15" s="279"/>
    </row>
    <row r="16" spans="1:11">
      <c r="J16" s="279"/>
      <c r="K16" s="279"/>
    </row>
    <row r="17" spans="1:11">
      <c r="J17" s="279"/>
      <c r="K17" s="279"/>
    </row>
    <row r="18" spans="1:11">
      <c r="J18" s="279"/>
      <c r="K18" s="279"/>
    </row>
    <row r="19" spans="1:11">
      <c r="J19" s="279"/>
      <c r="K19" s="279"/>
    </row>
    <row r="20" spans="1:11" s="258" customFormat="1"/>
    <row r="21" spans="1:11" s="258" customFormat="1" ht="16.5">
      <c r="A21" s="278"/>
      <c r="B21" s="39"/>
      <c r="C21" s="63"/>
      <c r="D21" s="51"/>
      <c r="E21" s="67"/>
    </row>
    <row r="22" spans="1:11" s="258" customFormat="1" ht="16.5">
      <c r="A22" s="133"/>
      <c r="B22" s="39"/>
      <c r="C22" s="416"/>
      <c r="D22" s="281"/>
      <c r="E22" s="415"/>
    </row>
    <row r="23" spans="1:11" s="258" customFormat="1" ht="16.5">
      <c r="A23" s="278"/>
      <c r="B23" s="417"/>
      <c r="C23" s="63"/>
      <c r="D23" s="51"/>
      <c r="E23" s="418"/>
    </row>
    <row r="24" spans="1:11" s="258" customFormat="1" ht="16.5">
      <c r="A24" s="133"/>
      <c r="B24" s="39"/>
      <c r="C24" s="416"/>
      <c r="D24" s="281"/>
      <c r="E24" s="415"/>
    </row>
    <row r="25" spans="1:11" s="258" customFormat="1" ht="16.5">
      <c r="A25" s="278"/>
      <c r="B25" s="417"/>
      <c r="C25" s="63"/>
      <c r="D25" s="51"/>
      <c r="E25" s="418"/>
    </row>
    <row r="26" spans="1:11" s="258" customFormat="1" ht="16.5">
      <c r="A26" s="278"/>
      <c r="B26" s="39"/>
      <c r="C26" s="63"/>
      <c r="D26" s="51"/>
      <c r="E26" s="415"/>
    </row>
    <row r="27" spans="1:11" s="258" customFormat="1" ht="16.5">
      <c r="A27" s="134"/>
      <c r="B27" s="417"/>
      <c r="C27" s="419"/>
      <c r="D27" s="420"/>
      <c r="E27" s="418"/>
    </row>
    <row r="28" spans="1:11" s="258" customFormat="1" ht="16.5">
      <c r="A28" s="278"/>
      <c r="B28" s="39"/>
      <c r="C28" s="63"/>
      <c r="D28" s="51"/>
      <c r="E28" s="415"/>
    </row>
    <row r="29" spans="1:11" s="258" customFormat="1"/>
    <row r="30" spans="1:11" s="258" customFormat="1"/>
    <row r="31" spans="1:11" s="258" customFormat="1"/>
    <row r="32" spans="1:11" s="258" customFormat="1"/>
    <row r="33" spans="1:5" s="258" customFormat="1"/>
    <row r="34" spans="1:5" s="258" customFormat="1" ht="16.5">
      <c r="A34" s="278"/>
      <c r="B34" s="39"/>
      <c r="C34" s="63"/>
      <c r="D34" s="51"/>
      <c r="E34" s="67"/>
    </row>
    <row r="35" spans="1:5" s="258" customFormat="1" ht="16.5">
      <c r="A35" s="133"/>
      <c r="B35" s="39"/>
      <c r="C35" s="416"/>
      <c r="D35" s="281"/>
      <c r="E35" s="415"/>
    </row>
    <row r="36" spans="1:5" s="258" customFormat="1" ht="16.5">
      <c r="A36" s="277"/>
      <c r="B36" s="417"/>
      <c r="C36" s="63"/>
      <c r="D36" s="51"/>
      <c r="E36" s="418"/>
    </row>
    <row r="37" spans="1:5" s="258" customFormat="1" ht="16.5">
      <c r="A37" s="133"/>
      <c r="B37" s="39"/>
      <c r="C37" s="416"/>
      <c r="D37" s="281"/>
      <c r="E37" s="415"/>
    </row>
    <row r="38" spans="1:5" s="258" customFormat="1" ht="16.5">
      <c r="A38" s="277"/>
      <c r="B38" s="417"/>
      <c r="C38" s="63"/>
      <c r="D38" s="51"/>
      <c r="E38" s="418"/>
    </row>
    <row r="39" spans="1:5" s="258" customFormat="1" ht="16.5">
      <c r="A39" s="278"/>
      <c r="B39" s="39"/>
      <c r="C39" s="63"/>
      <c r="D39" s="51"/>
      <c r="E39" s="415"/>
    </row>
    <row r="40" spans="1:5" s="258" customFormat="1" ht="16.5">
      <c r="A40" s="134"/>
      <c r="B40" s="417"/>
      <c r="C40" s="419"/>
      <c r="D40" s="420"/>
      <c r="E40" s="418"/>
    </row>
    <row r="41" spans="1:5" s="258" customFormat="1" ht="16.5">
      <c r="A41" s="278"/>
      <c r="B41" s="39"/>
      <c r="C41" s="63"/>
      <c r="D41" s="51"/>
      <c r="E41" s="415"/>
    </row>
    <row r="42" spans="1:5" s="258" customFormat="1"/>
    <row r="43" spans="1:5" s="258" customFormat="1"/>
    <row r="44" spans="1:5" s="258" customFormat="1"/>
    <row r="45" spans="1:5" s="258" customFormat="1"/>
    <row r="46" spans="1:5" s="258" customFormat="1"/>
    <row r="47" spans="1:5" s="258" customFormat="1" ht="16.5">
      <c r="B47" s="39"/>
    </row>
    <row r="48" spans="1:5" s="258" customFormat="1" ht="16.5">
      <c r="A48" s="133"/>
      <c r="B48" s="39"/>
      <c r="C48" s="416"/>
      <c r="D48" s="281"/>
      <c r="E48" s="415"/>
    </row>
    <row r="49" spans="1:5" s="258" customFormat="1" ht="16.5">
      <c r="A49" s="278"/>
      <c r="B49" s="417"/>
      <c r="C49" s="63"/>
      <c r="D49" s="51"/>
      <c r="E49" s="67"/>
    </row>
    <row r="50" spans="1:5" s="258" customFormat="1" ht="16.5">
      <c r="A50" s="133"/>
      <c r="B50" s="39"/>
      <c r="C50" s="416"/>
      <c r="D50" s="281"/>
      <c r="E50" s="415"/>
    </row>
    <row r="51" spans="1:5" s="258" customFormat="1" ht="16.5">
      <c r="A51" s="278"/>
      <c r="B51" s="417"/>
      <c r="C51" s="63"/>
      <c r="D51" s="51"/>
      <c r="E51" s="67"/>
    </row>
    <row r="52" spans="1:5" s="258" customFormat="1" ht="16.5">
      <c r="A52" s="133"/>
      <c r="B52" s="39"/>
      <c r="C52" s="416"/>
      <c r="D52" s="281"/>
      <c r="E52" s="415"/>
    </row>
    <row r="53" spans="1:5" s="258" customFormat="1" ht="16.5">
      <c r="A53" s="278"/>
      <c r="B53" s="417"/>
      <c r="C53" s="63"/>
      <c r="D53" s="51"/>
      <c r="E53" s="67"/>
    </row>
    <row r="54" spans="1:5" s="258" customFormat="1" ht="16.5">
      <c r="A54" s="278"/>
      <c r="B54" s="39"/>
      <c r="C54" s="63"/>
      <c r="D54" s="51"/>
      <c r="E54" s="415"/>
    </row>
    <row r="55" spans="1:5" s="258" customFormat="1" ht="16.5">
      <c r="A55" s="134"/>
      <c r="B55" s="417"/>
      <c r="C55" s="419"/>
      <c r="D55" s="420"/>
      <c r="E55" s="418"/>
    </row>
    <row r="56" spans="1:5" s="258" customFormat="1" ht="16.5">
      <c r="A56" s="278"/>
      <c r="B56" s="39"/>
      <c r="C56" s="63"/>
      <c r="D56" s="51"/>
      <c r="E56" s="415"/>
    </row>
    <row r="57" spans="1:5" s="258" customFormat="1"/>
    <row r="58" spans="1:5" s="258" customFormat="1"/>
    <row r="59" spans="1:5" s="258" customFormat="1"/>
  </sheetData>
  <sheetProtection password="C70B" sheet="1" objects="1" scenarios="1"/>
  <mergeCells count="1"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5"/>
  <sheetViews>
    <sheetView view="pageBreakPreview" topLeftCell="A128" zoomScale="85" zoomScaleNormal="85" zoomScaleSheetLayoutView="85" workbookViewId="0">
      <selection activeCell="G151" sqref="G151:H151"/>
    </sheetView>
  </sheetViews>
  <sheetFormatPr defaultColWidth="9.140625" defaultRowHeight="16.5"/>
  <cols>
    <col min="1" max="1" width="5.28515625" style="137" customWidth="1"/>
    <col min="2" max="2" width="73.42578125" style="65" bestFit="1" customWidth="1"/>
    <col min="3" max="3" width="8.42578125" style="138" customWidth="1"/>
    <col min="4" max="4" width="8.5703125" style="139" customWidth="1"/>
    <col min="5" max="5" width="13.85546875" style="140" customWidth="1"/>
    <col min="6" max="7" width="12.5703125" style="140" customWidth="1"/>
    <col min="8" max="8" width="14.28515625" style="140" customWidth="1"/>
    <col min="9" max="9" width="12.42578125" style="65" bestFit="1" customWidth="1"/>
    <col min="10" max="11" width="0" style="65" hidden="1" customWidth="1"/>
    <col min="12" max="12" width="15.28515625" style="65" bestFit="1" customWidth="1"/>
    <col min="13" max="13" width="12.7109375" style="65" bestFit="1" customWidth="1"/>
    <col min="14" max="14" width="12.140625" style="65" bestFit="1" customWidth="1"/>
    <col min="15" max="16" width="9.140625" style="65"/>
    <col min="17" max="17" width="11.28515625" style="65" customWidth="1"/>
    <col min="18" max="18" width="14" style="65" customWidth="1"/>
    <col min="19" max="19" width="12.85546875" style="65" customWidth="1"/>
    <col min="20" max="20" width="9.5703125" style="65" bestFit="1" customWidth="1"/>
    <col min="21" max="16384" width="9.140625" style="65"/>
  </cols>
  <sheetData>
    <row r="1" spans="1:16" s="22" customFormat="1">
      <c r="A1" s="17" t="s">
        <v>261</v>
      </c>
      <c r="B1" s="18"/>
      <c r="C1" s="19"/>
      <c r="D1" s="20" t="s">
        <v>0</v>
      </c>
      <c r="E1" s="21"/>
      <c r="F1" s="21"/>
      <c r="G1" s="21"/>
      <c r="H1" s="21"/>
    </row>
    <row r="2" spans="1:16" s="22" customFormat="1">
      <c r="A2" s="23" t="s">
        <v>84</v>
      </c>
      <c r="B2" s="18"/>
      <c r="C2" s="19"/>
      <c r="D2" s="20"/>
      <c r="E2" s="21"/>
      <c r="F2" s="21"/>
      <c r="G2" s="21"/>
      <c r="H2" s="21"/>
    </row>
    <row r="3" spans="1:16" s="22" customFormat="1">
      <c r="A3" s="24" t="s">
        <v>373</v>
      </c>
      <c r="B3" s="18"/>
      <c r="C3" s="19"/>
      <c r="D3" s="20"/>
      <c r="E3" s="21"/>
      <c r="F3" s="21"/>
      <c r="G3" s="21"/>
      <c r="H3" s="21"/>
    </row>
    <row r="4" spans="1:16" s="22" customFormat="1">
      <c r="A4" s="23" t="s">
        <v>86</v>
      </c>
      <c r="B4" s="25"/>
      <c r="C4" s="26"/>
      <c r="D4" s="20"/>
      <c r="E4" s="21"/>
      <c r="F4" s="21"/>
      <c r="G4" s="21"/>
      <c r="H4" s="21"/>
      <c r="I4" s="27"/>
      <c r="J4" s="27"/>
      <c r="K4" s="27"/>
      <c r="L4" s="27"/>
      <c r="M4" s="27"/>
      <c r="N4" s="27"/>
      <c r="O4" s="28"/>
      <c r="P4" s="28"/>
    </row>
    <row r="5" spans="1:16" s="22" customFormat="1">
      <c r="A5" s="29"/>
      <c r="B5" s="30"/>
      <c r="C5" s="19"/>
      <c r="D5" s="31"/>
      <c r="E5" s="21"/>
      <c r="F5" s="21"/>
      <c r="G5" s="21"/>
      <c r="H5" s="21"/>
      <c r="I5" s="27"/>
      <c r="J5" s="32"/>
      <c r="K5" s="27"/>
      <c r="L5" s="33"/>
      <c r="M5" s="34"/>
      <c r="N5" s="35"/>
      <c r="O5" s="28"/>
      <c r="P5" s="28"/>
    </row>
    <row r="6" spans="1:16" s="18" customFormat="1">
      <c r="A6" s="36"/>
      <c r="B6" s="37"/>
      <c r="C6" s="19"/>
      <c r="D6" s="31"/>
      <c r="E6" s="38"/>
      <c r="F6" s="38"/>
      <c r="G6" s="38"/>
      <c r="H6" s="38"/>
      <c r="I6" s="39"/>
      <c r="J6" s="40"/>
      <c r="K6" s="39"/>
      <c r="L6" s="41"/>
      <c r="M6" s="42"/>
      <c r="N6" s="43"/>
      <c r="O6" s="44"/>
      <c r="P6" s="44"/>
    </row>
    <row r="7" spans="1:16" s="22" customFormat="1" ht="45" customHeight="1">
      <c r="A7" s="450" t="s">
        <v>440</v>
      </c>
      <c r="B7" s="451"/>
      <c r="C7" s="452"/>
      <c r="D7" s="440" t="s">
        <v>271</v>
      </c>
      <c r="E7" s="440" t="s">
        <v>272</v>
      </c>
      <c r="F7" s="21"/>
      <c r="G7" s="21"/>
      <c r="H7" s="21"/>
      <c r="I7" s="32"/>
      <c r="J7" s="46"/>
      <c r="K7" s="47"/>
      <c r="L7" s="48"/>
      <c r="M7" s="34"/>
      <c r="N7" s="35"/>
      <c r="O7" s="28"/>
      <c r="P7" s="28"/>
    </row>
    <row r="8" spans="1:16" s="18" customFormat="1">
      <c r="A8" s="182" t="s">
        <v>1</v>
      </c>
      <c r="B8" s="18" t="s">
        <v>433</v>
      </c>
      <c r="C8" s="183"/>
      <c r="D8" s="38">
        <f>G50</f>
        <v>0</v>
      </c>
      <c r="E8" s="38">
        <f>H50</f>
        <v>0</v>
      </c>
      <c r="F8" s="171"/>
      <c r="G8" s="171"/>
      <c r="H8" s="171"/>
      <c r="I8" s="185"/>
      <c r="J8" s="186"/>
      <c r="K8" s="187"/>
      <c r="L8" s="188"/>
      <c r="M8" s="42"/>
      <c r="N8" s="43"/>
      <c r="O8" s="44"/>
      <c r="P8" s="44"/>
    </row>
    <row r="9" spans="1:16" s="18" customFormat="1">
      <c r="A9" s="182" t="s">
        <v>2</v>
      </c>
      <c r="B9" s="18" t="s">
        <v>434</v>
      </c>
      <c r="C9" s="183"/>
      <c r="D9" s="38">
        <f>G116</f>
        <v>0</v>
      </c>
      <c r="E9" s="38">
        <f>H116</f>
        <v>0</v>
      </c>
      <c r="F9" s="171"/>
      <c r="G9" s="171"/>
      <c r="H9" s="171"/>
      <c r="I9" s="185"/>
      <c r="J9" s="186"/>
      <c r="K9" s="187"/>
      <c r="L9" s="188"/>
      <c r="M9" s="42"/>
      <c r="N9" s="43"/>
      <c r="O9" s="44"/>
      <c r="P9" s="44"/>
    </row>
    <row r="10" spans="1:16" s="18" customFormat="1">
      <c r="A10" s="182" t="s">
        <v>3</v>
      </c>
      <c r="B10" s="18" t="s">
        <v>435</v>
      </c>
      <c r="C10" s="183"/>
      <c r="D10" s="38">
        <f>G128</f>
        <v>0</v>
      </c>
      <c r="E10" s="38">
        <f>H128</f>
        <v>0</v>
      </c>
      <c r="F10" s="171"/>
      <c r="H10" s="171"/>
      <c r="I10" s="185"/>
      <c r="J10" s="186"/>
      <c r="K10" s="187"/>
      <c r="L10" s="188"/>
      <c r="M10" s="43"/>
      <c r="N10" s="43"/>
      <c r="O10" s="44"/>
      <c r="P10" s="44"/>
    </row>
    <row r="11" spans="1:16" s="18" customFormat="1">
      <c r="A11" s="182" t="s">
        <v>4</v>
      </c>
      <c r="B11" s="18" t="s">
        <v>437</v>
      </c>
      <c r="C11" s="183"/>
      <c r="D11" s="38">
        <f>G139</f>
        <v>0</v>
      </c>
      <c r="E11" s="38">
        <f>H139</f>
        <v>0</v>
      </c>
      <c r="F11" s="171"/>
      <c r="G11" s="171"/>
      <c r="H11" s="171"/>
      <c r="I11" s="185"/>
      <c r="J11" s="186"/>
      <c r="K11" s="39"/>
      <c r="L11" s="188"/>
      <c r="M11" s="43"/>
      <c r="N11" s="43"/>
      <c r="O11" s="44"/>
      <c r="P11" s="44"/>
    </row>
    <row r="12" spans="1:16" s="22" customFormat="1">
      <c r="A12" s="437" t="s">
        <v>376</v>
      </c>
      <c r="B12" s="433" t="s">
        <v>438</v>
      </c>
      <c r="C12" s="438"/>
      <c r="D12" s="439">
        <f>G146</f>
        <v>0</v>
      </c>
      <c r="E12" s="439">
        <f>H146</f>
        <v>0</v>
      </c>
      <c r="F12" s="49"/>
      <c r="G12" s="49"/>
      <c r="H12" s="49"/>
      <c r="I12" s="32"/>
      <c r="J12" s="46"/>
      <c r="K12" s="27"/>
      <c r="L12" s="48"/>
      <c r="M12" s="35"/>
      <c r="N12" s="35"/>
      <c r="O12" s="28"/>
      <c r="P12" s="28"/>
    </row>
    <row r="13" spans="1:16" s="50" customFormat="1">
      <c r="A13" s="45"/>
      <c r="B13" s="52" t="s">
        <v>439</v>
      </c>
      <c r="C13" s="53"/>
      <c r="D13" s="55">
        <f>SUM(D8:D12)</f>
        <v>0</v>
      </c>
      <c r="E13" s="55">
        <f>SUM(E8:E12)</f>
        <v>0</v>
      </c>
      <c r="F13" s="56"/>
      <c r="G13" s="57"/>
      <c r="H13" s="57"/>
    </row>
    <row r="14" spans="1:16" s="50" customFormat="1">
      <c r="A14" s="45"/>
      <c r="B14" s="52" t="s">
        <v>5</v>
      </c>
      <c r="C14" s="53"/>
      <c r="D14" s="55"/>
      <c r="E14" s="55">
        <f>D13+E13</f>
        <v>0</v>
      </c>
      <c r="F14" s="56"/>
      <c r="G14" s="57"/>
      <c r="H14" s="57"/>
    </row>
    <row r="15" spans="1:16" s="50" customFormat="1">
      <c r="A15" s="189"/>
      <c r="B15" s="190" t="s">
        <v>6</v>
      </c>
      <c r="C15" s="191"/>
      <c r="D15" s="55"/>
      <c r="E15" s="193">
        <f>G150</f>
        <v>0</v>
      </c>
      <c r="F15" s="56"/>
      <c r="G15" s="56"/>
      <c r="H15" s="56"/>
    </row>
    <row r="16" spans="1:16" s="50" customFormat="1">
      <c r="A16" s="45"/>
      <c r="B16" s="52" t="s">
        <v>7</v>
      </c>
      <c r="C16" s="53"/>
      <c r="D16" s="54"/>
      <c r="E16" s="55">
        <f>G151</f>
        <v>0</v>
      </c>
      <c r="F16" s="56"/>
      <c r="G16" s="57"/>
      <c r="H16" s="57"/>
      <c r="L16" s="229"/>
      <c r="M16" s="230"/>
    </row>
    <row r="17" spans="1:9" s="61" customFormat="1">
      <c r="A17" s="29"/>
      <c r="B17" s="58"/>
      <c r="C17" s="59"/>
      <c r="D17" s="60"/>
      <c r="E17" s="57"/>
      <c r="F17" s="56"/>
      <c r="G17" s="57"/>
      <c r="H17" s="57"/>
    </row>
    <row r="18" spans="1:9" s="61" customFormat="1">
      <c r="A18" s="29"/>
      <c r="B18" s="58"/>
      <c r="C18" s="59"/>
      <c r="D18" s="60"/>
      <c r="E18" s="57"/>
      <c r="F18" s="56"/>
      <c r="G18" s="57"/>
      <c r="H18" s="57"/>
    </row>
    <row r="19" spans="1:9" s="61" customFormat="1">
      <c r="A19" s="29"/>
      <c r="B19" s="58"/>
      <c r="C19" s="59"/>
      <c r="D19" s="60"/>
      <c r="E19" s="57"/>
      <c r="F19" s="56"/>
      <c r="G19" s="57"/>
      <c r="H19" s="57"/>
    </row>
    <row r="20" spans="1:9" s="61" customFormat="1">
      <c r="A20" s="29"/>
      <c r="B20" s="58"/>
      <c r="C20" s="59"/>
      <c r="D20" s="60"/>
      <c r="E20" s="57"/>
      <c r="F20" s="56"/>
      <c r="G20" s="57"/>
      <c r="H20" s="57"/>
    </row>
    <row r="21" spans="1:9" s="61" customFormat="1">
      <c r="A21" s="29"/>
      <c r="B21" s="25" t="s">
        <v>380</v>
      </c>
      <c r="C21" s="59"/>
      <c r="D21" s="60"/>
      <c r="E21" s="57"/>
      <c r="F21" s="56"/>
      <c r="G21" s="57"/>
      <c r="H21" s="57"/>
    </row>
    <row r="22" spans="1:9" s="61" customFormat="1">
      <c r="A22" s="29"/>
      <c r="B22" s="58"/>
      <c r="C22" s="59"/>
      <c r="D22" s="60"/>
      <c r="E22" s="57"/>
      <c r="F22" s="56"/>
      <c r="G22" s="57"/>
      <c r="H22" s="57"/>
    </row>
    <row r="23" spans="1:9" s="61" customFormat="1">
      <c r="A23" s="29"/>
      <c r="B23" s="58"/>
      <c r="C23" s="59"/>
      <c r="D23" s="60"/>
      <c r="E23" s="57"/>
      <c r="F23" s="56"/>
      <c r="G23" s="57"/>
      <c r="H23" s="57"/>
    </row>
    <row r="24" spans="1:9" s="61" customFormat="1">
      <c r="A24" s="29"/>
      <c r="B24" s="58"/>
      <c r="C24" s="59"/>
      <c r="D24" s="60"/>
      <c r="E24" s="57"/>
      <c r="F24" s="56"/>
      <c r="G24" s="57"/>
      <c r="H24" s="57"/>
    </row>
    <row r="25" spans="1:9" s="61" customFormat="1">
      <c r="A25" s="29"/>
      <c r="B25" s="62"/>
      <c r="C25" s="59"/>
      <c r="D25" s="60"/>
      <c r="E25" s="57"/>
      <c r="F25" s="56"/>
      <c r="G25" s="57"/>
      <c r="H25" s="57"/>
    </row>
    <row r="26" spans="1:9">
      <c r="A26" s="17" t="str">
        <f>A1</f>
        <v>Budapest XVIII. kerület 152646/6. helyrajzi számon található ingatlan fejlesztése I. ütem</v>
      </c>
      <c r="B26" s="39"/>
      <c r="C26" s="63"/>
      <c r="D26" s="20" t="s">
        <v>0</v>
      </c>
      <c r="E26" s="64"/>
      <c r="F26" s="64"/>
      <c r="G26" s="49"/>
      <c r="H26" s="49"/>
    </row>
    <row r="27" spans="1:9">
      <c r="A27" s="23" t="str">
        <f>A2</f>
        <v>KÖRNYEZETRENDEZÉSI KIVITELI TERV</v>
      </c>
      <c r="B27" s="27"/>
      <c r="C27" s="63"/>
      <c r="D27" s="66"/>
      <c r="E27" s="64"/>
      <c r="F27" s="64"/>
      <c r="G27" s="49"/>
      <c r="H27" s="49"/>
    </row>
    <row r="28" spans="1:9">
      <c r="A28" s="24" t="str">
        <f>A3</f>
        <v>ELŐZETES, ÁRAZATLAN TERVEZŐI KÖLTSÉGBECSLÉS</v>
      </c>
      <c r="B28" s="39"/>
      <c r="C28" s="63"/>
      <c r="D28" s="66"/>
      <c r="E28" s="64"/>
      <c r="F28" s="64"/>
      <c r="G28" s="49"/>
      <c r="H28" s="49"/>
    </row>
    <row r="29" spans="1:9">
      <c r="A29" s="23" t="str">
        <f>A4</f>
        <v>2017. MÁRCIUS</v>
      </c>
      <c r="B29" s="39"/>
      <c r="C29" s="63"/>
      <c r="D29" s="66"/>
      <c r="E29" s="64"/>
      <c r="F29" s="64"/>
      <c r="G29" s="49"/>
      <c r="H29" s="49"/>
    </row>
    <row r="30" spans="1:9" ht="49.5">
      <c r="A30" s="68" t="s">
        <v>8</v>
      </c>
      <c r="B30" s="69" t="s">
        <v>9</v>
      </c>
      <c r="C30" s="70" t="s">
        <v>10</v>
      </c>
      <c r="D30" s="71" t="s">
        <v>11</v>
      </c>
      <c r="E30" s="72" t="s">
        <v>12</v>
      </c>
      <c r="F30" s="72" t="s">
        <v>13</v>
      </c>
      <c r="G30" s="72" t="s">
        <v>14</v>
      </c>
      <c r="H30" s="72" t="s">
        <v>15</v>
      </c>
    </row>
    <row r="31" spans="1:9">
      <c r="A31" s="73" t="s">
        <v>16</v>
      </c>
      <c r="B31" s="74" t="s">
        <v>17</v>
      </c>
      <c r="C31" s="70"/>
      <c r="D31" s="71"/>
      <c r="E31" s="72"/>
      <c r="F31" s="75"/>
      <c r="G31" s="154"/>
      <c r="H31" s="155"/>
    </row>
    <row r="32" spans="1:9" ht="33">
      <c r="A32" s="93" t="s">
        <v>93</v>
      </c>
      <c r="B32" s="76" t="s">
        <v>203</v>
      </c>
      <c r="C32" s="77">
        <f>300*0.05*1.2</f>
        <v>18</v>
      </c>
      <c r="D32" s="78" t="s">
        <v>18</v>
      </c>
      <c r="E32" s="79">
        <v>0</v>
      </c>
      <c r="F32" s="80">
        <v>0</v>
      </c>
      <c r="G32" s="156">
        <f>C32*E32</f>
        <v>0</v>
      </c>
      <c r="H32" s="156">
        <f>C32*F32</f>
        <v>0</v>
      </c>
      <c r="I32" s="81"/>
    </row>
    <row r="33" spans="1:9" ht="33">
      <c r="A33" s="93" t="s">
        <v>94</v>
      </c>
      <c r="B33" s="76" t="s">
        <v>196</v>
      </c>
      <c r="C33" s="77">
        <f>50*0.5*1.2</f>
        <v>30</v>
      </c>
      <c r="D33" s="78" t="s">
        <v>18</v>
      </c>
      <c r="E33" s="79">
        <v>0</v>
      </c>
      <c r="F33" s="80">
        <v>0</v>
      </c>
      <c r="G33" s="156">
        <f>C33*E33</f>
        <v>0</v>
      </c>
      <c r="H33" s="156">
        <f>C33*F33</f>
        <v>0</v>
      </c>
      <c r="I33" s="81"/>
    </row>
    <row r="34" spans="1:9" ht="33">
      <c r="A34" s="93" t="s">
        <v>95</v>
      </c>
      <c r="B34" s="76" t="s">
        <v>206</v>
      </c>
      <c r="C34" s="77">
        <f>630*0.05</f>
        <v>31.5</v>
      </c>
      <c r="D34" s="78" t="s">
        <v>18</v>
      </c>
      <c r="E34" s="79">
        <v>0</v>
      </c>
      <c r="F34" s="80">
        <v>0</v>
      </c>
      <c r="G34" s="156">
        <f t="shared" ref="G34" si="0">C34*E34</f>
        <v>0</v>
      </c>
      <c r="H34" s="156">
        <f t="shared" ref="H34" si="1">C34*F34</f>
        <v>0</v>
      </c>
      <c r="I34" s="81"/>
    </row>
    <row r="35" spans="1:9">
      <c r="A35" s="93" t="s">
        <v>96</v>
      </c>
      <c r="B35" s="76" t="s">
        <v>79</v>
      </c>
      <c r="C35" s="77">
        <f>220*0.2*1.2</f>
        <v>52.8</v>
      </c>
      <c r="D35" s="78" t="s">
        <v>18</v>
      </c>
      <c r="E35" s="79">
        <v>0</v>
      </c>
      <c r="F35" s="80">
        <v>0</v>
      </c>
      <c r="G35" s="156">
        <f t="shared" ref="G35" si="2">C35*E35</f>
        <v>0</v>
      </c>
      <c r="H35" s="156">
        <f t="shared" ref="H35" si="3">C35*F35</f>
        <v>0</v>
      </c>
      <c r="I35" s="81"/>
    </row>
    <row r="36" spans="1:9">
      <c r="A36" s="93" t="s">
        <v>97</v>
      </c>
      <c r="B36" s="76" t="s">
        <v>80</v>
      </c>
      <c r="C36" s="77">
        <v>1</v>
      </c>
      <c r="D36" s="82" t="s">
        <v>19</v>
      </c>
      <c r="E36" s="83">
        <v>0</v>
      </c>
      <c r="F36" s="80">
        <v>0</v>
      </c>
      <c r="G36" s="156">
        <f>C36*E36</f>
        <v>0</v>
      </c>
      <c r="H36" s="156">
        <f>C36*F36</f>
        <v>0</v>
      </c>
      <c r="I36" s="81"/>
    </row>
    <row r="37" spans="1:9" s="87" customFormat="1" ht="33">
      <c r="A37" s="93" t="s">
        <v>98</v>
      </c>
      <c r="B37" s="85" t="s">
        <v>233</v>
      </c>
      <c r="C37" s="253">
        <v>10</v>
      </c>
      <c r="D37" s="82" t="s">
        <v>19</v>
      </c>
      <c r="E37" s="118">
        <v>0</v>
      </c>
      <c r="F37" s="80">
        <v>0</v>
      </c>
      <c r="G37" s="156">
        <f>C37*E37</f>
        <v>0</v>
      </c>
      <c r="H37" s="156">
        <f>C37*F37</f>
        <v>0</v>
      </c>
      <c r="I37" s="86"/>
    </row>
    <row r="38" spans="1:9" s="87" customFormat="1" ht="33">
      <c r="A38" s="93" t="s">
        <v>99</v>
      </c>
      <c r="B38" s="85" t="s">
        <v>234</v>
      </c>
      <c r="C38" s="253">
        <v>32</v>
      </c>
      <c r="D38" s="82" t="s">
        <v>19</v>
      </c>
      <c r="E38" s="118">
        <v>0</v>
      </c>
      <c r="F38" s="80">
        <v>0</v>
      </c>
      <c r="G38" s="156">
        <f>C38*E38</f>
        <v>0</v>
      </c>
      <c r="H38" s="156">
        <f>C38*F38</f>
        <v>0</v>
      </c>
      <c r="I38" s="86"/>
    </row>
    <row r="39" spans="1:9" s="87" customFormat="1" ht="33">
      <c r="A39" s="93" t="s">
        <v>100</v>
      </c>
      <c r="B39" s="85" t="s">
        <v>235</v>
      </c>
      <c r="C39" s="253">
        <v>4</v>
      </c>
      <c r="D39" s="82" t="s">
        <v>19</v>
      </c>
      <c r="E39" s="118">
        <v>0</v>
      </c>
      <c r="F39" s="80">
        <v>0</v>
      </c>
      <c r="G39" s="156">
        <f>C39*E39</f>
        <v>0</v>
      </c>
      <c r="H39" s="156">
        <f>C39*F39</f>
        <v>0</v>
      </c>
      <c r="I39" s="86"/>
    </row>
    <row r="40" spans="1:9" s="87" customFormat="1" ht="33">
      <c r="A40" s="93" t="s">
        <v>226</v>
      </c>
      <c r="B40" s="85" t="s">
        <v>236</v>
      </c>
      <c r="C40" s="253">
        <v>4</v>
      </c>
      <c r="D40" s="82" t="s">
        <v>19</v>
      </c>
      <c r="E40" s="118">
        <v>0</v>
      </c>
      <c r="F40" s="80">
        <v>0</v>
      </c>
      <c r="G40" s="156">
        <f t="shared" ref="G40:G41" si="4">C40*E40</f>
        <v>0</v>
      </c>
      <c r="H40" s="156">
        <f t="shared" ref="H40:H41" si="5">C40*F40</f>
        <v>0</v>
      </c>
      <c r="I40" s="86"/>
    </row>
    <row r="41" spans="1:9" s="87" customFormat="1">
      <c r="A41" s="93" t="s">
        <v>227</v>
      </c>
      <c r="B41" s="85" t="s">
        <v>381</v>
      </c>
      <c r="C41" s="253">
        <v>6</v>
      </c>
      <c r="D41" s="82" t="s">
        <v>19</v>
      </c>
      <c r="E41" s="118">
        <v>0</v>
      </c>
      <c r="F41" s="80">
        <v>0</v>
      </c>
      <c r="G41" s="156">
        <f t="shared" si="4"/>
        <v>0</v>
      </c>
      <c r="H41" s="156">
        <f t="shared" si="5"/>
        <v>0</v>
      </c>
      <c r="I41" s="86"/>
    </row>
    <row r="42" spans="1:9">
      <c r="A42" s="93" t="s">
        <v>228</v>
      </c>
      <c r="B42" s="85" t="s">
        <v>201</v>
      </c>
      <c r="C42" s="77">
        <v>4</v>
      </c>
      <c r="D42" s="89" t="s">
        <v>19</v>
      </c>
      <c r="E42" s="71">
        <v>0</v>
      </c>
      <c r="F42" s="80">
        <v>0</v>
      </c>
      <c r="G42" s="156">
        <f t="shared" ref="G42:G45" si="6">C42*E42</f>
        <v>0</v>
      </c>
      <c r="H42" s="156">
        <f t="shared" ref="H42:H45" si="7">C42*F42</f>
        <v>0</v>
      </c>
      <c r="I42" s="90"/>
    </row>
    <row r="43" spans="1:9">
      <c r="A43" s="93" t="s">
        <v>238</v>
      </c>
      <c r="B43" s="85" t="s">
        <v>198</v>
      </c>
      <c r="C43" s="77">
        <v>6</v>
      </c>
      <c r="D43" s="89" t="s">
        <v>19</v>
      </c>
      <c r="E43" s="71">
        <v>0</v>
      </c>
      <c r="F43" s="80">
        <v>0</v>
      </c>
      <c r="G43" s="156">
        <f t="shared" si="6"/>
        <v>0</v>
      </c>
      <c r="H43" s="156">
        <f t="shared" si="7"/>
        <v>0</v>
      </c>
      <c r="I43" s="90"/>
    </row>
    <row r="44" spans="1:9" ht="19.5" customHeight="1">
      <c r="A44" s="93" t="s">
        <v>239</v>
      </c>
      <c r="B44" s="85" t="s">
        <v>199</v>
      </c>
      <c r="C44" s="77">
        <v>3</v>
      </c>
      <c r="D44" s="89" t="s">
        <v>19</v>
      </c>
      <c r="E44" s="71">
        <v>0</v>
      </c>
      <c r="F44" s="80">
        <v>0</v>
      </c>
      <c r="G44" s="156">
        <f t="shared" si="6"/>
        <v>0</v>
      </c>
      <c r="H44" s="156">
        <f t="shared" si="7"/>
        <v>0</v>
      </c>
      <c r="I44" s="85"/>
    </row>
    <row r="45" spans="1:9" ht="33">
      <c r="A45" s="93" t="s">
        <v>240</v>
      </c>
      <c r="B45" s="85" t="s">
        <v>166</v>
      </c>
      <c r="C45" s="77">
        <v>65</v>
      </c>
      <c r="D45" s="89" t="s">
        <v>78</v>
      </c>
      <c r="E45" s="71">
        <v>0</v>
      </c>
      <c r="F45" s="80">
        <v>0</v>
      </c>
      <c r="G45" s="156">
        <f t="shared" si="6"/>
        <v>0</v>
      </c>
      <c r="H45" s="156">
        <f t="shared" si="7"/>
        <v>0</v>
      </c>
      <c r="I45" s="85"/>
    </row>
    <row r="46" spans="1:9" ht="33">
      <c r="A46" s="93" t="s">
        <v>241</v>
      </c>
      <c r="B46" s="85" t="s">
        <v>197</v>
      </c>
      <c r="C46" s="253">
        <v>10</v>
      </c>
      <c r="D46" s="82" t="s">
        <v>19</v>
      </c>
      <c r="E46" s="118">
        <v>0</v>
      </c>
      <c r="F46" s="80">
        <v>0</v>
      </c>
      <c r="G46" s="156">
        <f t="shared" ref="G46" si="8">C46*E46</f>
        <v>0</v>
      </c>
      <c r="H46" s="156">
        <f t="shared" ref="H46" si="9">C46*F46</f>
        <v>0</v>
      </c>
      <c r="I46" s="85"/>
    </row>
    <row r="47" spans="1:9" ht="33">
      <c r="A47" s="93" t="s">
        <v>242</v>
      </c>
      <c r="B47" s="85" t="s">
        <v>200</v>
      </c>
      <c r="C47" s="77">
        <v>106</v>
      </c>
      <c r="D47" s="89" t="s">
        <v>21</v>
      </c>
      <c r="E47" s="71">
        <v>0</v>
      </c>
      <c r="F47" s="80">
        <v>0</v>
      </c>
      <c r="G47" s="156">
        <f>C47*E47</f>
        <v>0</v>
      </c>
      <c r="H47" s="156">
        <f>C47*F47</f>
        <v>0</v>
      </c>
      <c r="I47" s="85"/>
    </row>
    <row r="48" spans="1:9" ht="33">
      <c r="A48" s="93" t="s">
        <v>243</v>
      </c>
      <c r="B48" s="85" t="s">
        <v>183</v>
      </c>
      <c r="C48" s="77">
        <v>620</v>
      </c>
      <c r="D48" s="89" t="s">
        <v>21</v>
      </c>
      <c r="E48" s="71">
        <v>0</v>
      </c>
      <c r="F48" s="75">
        <v>0</v>
      </c>
      <c r="G48" s="156">
        <f>C48*E48</f>
        <v>0</v>
      </c>
      <c r="H48" s="156">
        <f>C48*F48</f>
        <v>0</v>
      </c>
      <c r="I48" s="85"/>
    </row>
    <row r="49" spans="1:19">
      <c r="A49" s="212"/>
      <c r="B49" s="255"/>
      <c r="C49" s="256"/>
      <c r="D49" s="91"/>
      <c r="E49" s="117"/>
      <c r="F49" s="119"/>
      <c r="G49" s="251"/>
      <c r="H49" s="251"/>
      <c r="I49" s="257"/>
    </row>
    <row r="50" spans="1:19" s="170" customFormat="1">
      <c r="A50" s="197"/>
      <c r="B50" s="179" t="s">
        <v>22</v>
      </c>
      <c r="C50" s="180"/>
      <c r="D50" s="180"/>
      <c r="E50" s="180"/>
      <c r="F50" s="180"/>
      <c r="G50" s="160">
        <f>SUM(G32:G48)</f>
        <v>0</v>
      </c>
      <c r="H50" s="160">
        <f>SUM(H32:H48)</f>
        <v>0</v>
      </c>
      <c r="I50" s="161"/>
    </row>
    <row r="51" spans="1:19">
      <c r="A51" s="88"/>
      <c r="B51" s="69"/>
      <c r="C51" s="70"/>
      <c r="D51" s="71"/>
      <c r="E51" s="72"/>
      <c r="F51" s="72"/>
      <c r="G51" s="155"/>
      <c r="H51" s="155"/>
      <c r="I51" s="90"/>
    </row>
    <row r="52" spans="1:19">
      <c r="A52" s="73" t="s">
        <v>23</v>
      </c>
      <c r="B52" s="74" t="s">
        <v>24</v>
      </c>
      <c r="C52" s="70"/>
      <c r="D52" s="71"/>
      <c r="E52" s="72"/>
      <c r="F52" s="75"/>
      <c r="G52" s="154"/>
      <c r="H52" s="155"/>
      <c r="I52" s="90"/>
    </row>
    <row r="53" spans="1:19" s="87" customFormat="1" hidden="1">
      <c r="A53" s="93"/>
      <c r="B53" s="94"/>
      <c r="C53" s="70"/>
      <c r="D53" s="89"/>
      <c r="E53" s="71"/>
      <c r="F53" s="75"/>
      <c r="G53" s="154"/>
      <c r="H53" s="155"/>
      <c r="I53" s="90"/>
    </row>
    <row r="54" spans="1:19" s="87" customFormat="1" hidden="1">
      <c r="A54" s="95"/>
      <c r="B54" s="76"/>
      <c r="C54" s="96"/>
      <c r="D54" s="78"/>
      <c r="E54" s="79"/>
      <c r="F54" s="80"/>
      <c r="G54" s="157"/>
      <c r="H54" s="157"/>
      <c r="I54" s="86"/>
    </row>
    <row r="55" spans="1:19" s="87" customFormat="1" hidden="1">
      <c r="A55" s="84"/>
      <c r="B55" s="85"/>
      <c r="C55" s="97"/>
      <c r="D55" s="98"/>
      <c r="E55" s="83"/>
      <c r="F55" s="83"/>
      <c r="G55" s="156"/>
      <c r="H55" s="156"/>
      <c r="I55" s="86"/>
    </row>
    <row r="56" spans="1:19" s="87" customFormat="1" hidden="1">
      <c r="A56" s="99"/>
      <c r="B56" s="100"/>
      <c r="C56" s="96"/>
      <c r="D56" s="78"/>
      <c r="E56" s="79"/>
      <c r="F56" s="79"/>
      <c r="G56" s="157"/>
      <c r="H56" s="157"/>
      <c r="I56" s="90"/>
    </row>
    <row r="57" spans="1:19" s="87" customFormat="1" hidden="1">
      <c r="A57" s="99"/>
      <c r="B57" s="76"/>
      <c r="C57" s="96"/>
      <c r="D57" s="78"/>
      <c r="E57" s="79"/>
      <c r="F57" s="80"/>
      <c r="G57" s="157"/>
      <c r="H57" s="157"/>
      <c r="I57" s="90"/>
    </row>
    <row r="58" spans="1:19" s="87" customFormat="1" hidden="1">
      <c r="A58" s="99"/>
      <c r="B58" s="100"/>
      <c r="C58" s="96"/>
      <c r="D58" s="78"/>
      <c r="E58" s="79"/>
      <c r="F58" s="80"/>
      <c r="G58" s="157"/>
      <c r="H58" s="157"/>
      <c r="I58" s="90"/>
    </row>
    <row r="59" spans="1:19" s="87" customFormat="1" hidden="1">
      <c r="A59" s="99"/>
      <c r="B59" s="101"/>
      <c r="C59" s="102"/>
      <c r="D59" s="103"/>
      <c r="E59" s="103"/>
      <c r="F59" s="103"/>
      <c r="G59" s="158"/>
      <c r="H59" s="158"/>
      <c r="I59" s="90"/>
    </row>
    <row r="60" spans="1:19" s="87" customFormat="1" hidden="1">
      <c r="A60" s="95"/>
      <c r="B60" s="76"/>
      <c r="C60" s="77"/>
      <c r="D60" s="78"/>
      <c r="E60" s="79"/>
      <c r="F60" s="80"/>
      <c r="G60" s="156"/>
      <c r="H60" s="156"/>
      <c r="I60" s="104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s="87" customFormat="1" hidden="1">
      <c r="A61" s="106"/>
      <c r="B61" s="100"/>
      <c r="C61" s="96"/>
      <c r="D61" s="78"/>
      <c r="E61" s="79"/>
      <c r="F61" s="80"/>
      <c r="G61" s="159"/>
      <c r="H61" s="159"/>
      <c r="I61" s="104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s="87" customFormat="1" hidden="1">
      <c r="A62" s="106"/>
      <c r="B62" s="76"/>
      <c r="C62" s="77"/>
      <c r="D62" s="78"/>
      <c r="E62" s="79"/>
      <c r="F62" s="80"/>
      <c r="G62" s="156"/>
      <c r="H62" s="156"/>
      <c r="I62" s="104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s="87" customFormat="1">
      <c r="A63" s="106"/>
      <c r="B63" s="247" t="s">
        <v>189</v>
      </c>
      <c r="C63" s="271"/>
      <c r="D63" s="276"/>
      <c r="E63" s="272"/>
      <c r="F63" s="273"/>
      <c r="G63" s="239"/>
      <c r="H63" s="239"/>
      <c r="I63" s="104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s="87" customFormat="1">
      <c r="A64" s="99" t="s">
        <v>93</v>
      </c>
      <c r="B64" s="76" t="s">
        <v>85</v>
      </c>
      <c r="C64" s="96">
        <f>C65*0.05</f>
        <v>114.54000000000002</v>
      </c>
      <c r="D64" s="71" t="s">
        <v>18</v>
      </c>
      <c r="E64" s="71">
        <v>0</v>
      </c>
      <c r="F64" s="75">
        <v>0</v>
      </c>
      <c r="G64" s="156">
        <f>C64*E64</f>
        <v>0</v>
      </c>
      <c r="H64" s="156">
        <f>C64*F64</f>
        <v>0</v>
      </c>
      <c r="I64" s="104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s="87" customFormat="1" ht="33">
      <c r="A65" s="99" t="s">
        <v>94</v>
      </c>
      <c r="B65" s="76" t="s">
        <v>229</v>
      </c>
      <c r="C65" s="96">
        <f>C67+(C66*0.1)</f>
        <v>2290.8000000000002</v>
      </c>
      <c r="D65" s="71" t="s">
        <v>21</v>
      </c>
      <c r="E65" s="71">
        <v>0</v>
      </c>
      <c r="F65" s="75">
        <v>0</v>
      </c>
      <c r="G65" s="156">
        <f>C65*E65</f>
        <v>0</v>
      </c>
      <c r="H65" s="156">
        <f>C65*F65</f>
        <v>0</v>
      </c>
      <c r="I65" s="104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s="87" customFormat="1" ht="33">
      <c r="A66" s="99" t="s">
        <v>95</v>
      </c>
      <c r="B66" s="76" t="s">
        <v>186</v>
      </c>
      <c r="C66" s="96">
        <f>247+12+16+12+478+12+487+35+23+173+53+22+28</f>
        <v>1598</v>
      </c>
      <c r="D66" s="71" t="s">
        <v>78</v>
      </c>
      <c r="E66" s="71">
        <v>0</v>
      </c>
      <c r="F66" s="75">
        <v>0</v>
      </c>
      <c r="G66" s="156">
        <f>C66*E66</f>
        <v>0</v>
      </c>
      <c r="H66" s="156">
        <f>C66*F66</f>
        <v>0</v>
      </c>
      <c r="I66" s="104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s="87" customFormat="1">
      <c r="A67" s="99" t="s">
        <v>96</v>
      </c>
      <c r="B67" s="76" t="s">
        <v>83</v>
      </c>
      <c r="C67" s="96">
        <f>1535+285+159+47+73+32</f>
        <v>2131</v>
      </c>
      <c r="D67" s="71" t="s">
        <v>21</v>
      </c>
      <c r="E67" s="71">
        <v>0</v>
      </c>
      <c r="F67" s="75">
        <v>0</v>
      </c>
      <c r="G67" s="156">
        <f>C67*E67</f>
        <v>0</v>
      </c>
      <c r="H67" s="156">
        <f>C67*F67</f>
        <v>0</v>
      </c>
      <c r="I67" s="104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s="87" customFormat="1">
      <c r="A68" s="106"/>
      <c r="B68" s="107" t="s">
        <v>208</v>
      </c>
      <c r="C68" s="96"/>
      <c r="D68" s="71"/>
      <c r="E68" s="246"/>
      <c r="F68" s="246"/>
      <c r="G68" s="246"/>
      <c r="H68" s="246"/>
      <c r="I68" s="104"/>
      <c r="J68" s="105"/>
      <c r="K68" s="105"/>
      <c r="L68" s="105"/>
      <c r="M68" s="105"/>
      <c r="N68" s="105"/>
      <c r="O68" s="105"/>
      <c r="P68" s="79"/>
      <c r="Q68" s="75"/>
      <c r="R68" s="156"/>
      <c r="S68" s="156"/>
    </row>
    <row r="69" spans="1:19" s="87" customFormat="1">
      <c r="A69" s="106"/>
      <c r="B69" s="107" t="s">
        <v>209</v>
      </c>
      <c r="C69" s="96"/>
      <c r="D69" s="71"/>
      <c r="E69" s="246"/>
      <c r="F69" s="246"/>
      <c r="G69" s="246"/>
      <c r="H69" s="246"/>
      <c r="I69" s="104"/>
      <c r="J69" s="105"/>
      <c r="K69" s="105"/>
      <c r="L69" s="27"/>
      <c r="M69" s="27"/>
      <c r="N69" s="27"/>
      <c r="O69" s="105"/>
      <c r="P69" s="79"/>
      <c r="Q69" s="75"/>
      <c r="R69" s="156"/>
      <c r="S69" s="156"/>
    </row>
    <row r="70" spans="1:19" s="87" customFormat="1">
      <c r="A70" s="106"/>
      <c r="B70" s="107" t="s">
        <v>210</v>
      </c>
      <c r="C70" s="96"/>
      <c r="D70" s="71"/>
      <c r="E70" s="246"/>
      <c r="F70" s="246"/>
      <c r="G70" s="246"/>
      <c r="H70" s="246"/>
      <c r="I70" s="104"/>
      <c r="J70" s="105"/>
      <c r="K70" s="105"/>
      <c r="L70" s="27"/>
      <c r="M70" s="27"/>
      <c r="N70" s="27"/>
      <c r="O70" s="105"/>
      <c r="P70" s="79"/>
      <c r="Q70" s="75"/>
      <c r="R70" s="156"/>
      <c r="S70" s="156"/>
    </row>
    <row r="71" spans="1:19" s="87" customFormat="1">
      <c r="A71" s="106"/>
      <c r="B71" s="107" t="s">
        <v>211</v>
      </c>
      <c r="C71" s="96"/>
      <c r="D71" s="71"/>
      <c r="E71" s="246"/>
      <c r="F71" s="246"/>
      <c r="G71" s="246"/>
      <c r="H71" s="246"/>
      <c r="I71" s="104"/>
      <c r="J71" s="105"/>
      <c r="K71" s="105"/>
      <c r="L71" s="27"/>
      <c r="M71" s="132"/>
      <c r="N71" s="132"/>
      <c r="O71" s="105"/>
      <c r="P71" s="79"/>
      <c r="Q71" s="75"/>
      <c r="R71" s="156"/>
      <c r="S71" s="156"/>
    </row>
    <row r="72" spans="1:19" s="87" customFormat="1">
      <c r="A72" s="106"/>
      <c r="B72" s="107"/>
      <c r="C72" s="96"/>
      <c r="D72" s="79"/>
      <c r="E72" s="79"/>
      <c r="F72" s="80"/>
      <c r="G72" s="156"/>
      <c r="H72" s="156"/>
      <c r="I72" s="104"/>
      <c r="J72" s="105"/>
      <c r="K72" s="105"/>
      <c r="L72" s="27"/>
      <c r="M72" s="132"/>
      <c r="N72" s="27"/>
      <c r="O72" s="105"/>
      <c r="P72" s="105"/>
      <c r="Q72" s="105"/>
      <c r="R72" s="105"/>
      <c r="S72" s="105"/>
    </row>
    <row r="73" spans="1:19" s="87" customFormat="1">
      <c r="A73" s="106"/>
      <c r="B73" s="247" t="s">
        <v>188</v>
      </c>
      <c r="C73" s="271"/>
      <c r="D73" s="276"/>
      <c r="E73" s="272"/>
      <c r="F73" s="273"/>
      <c r="G73" s="239"/>
      <c r="H73" s="239"/>
      <c r="I73" s="104"/>
      <c r="J73" s="105"/>
      <c r="K73" s="105"/>
      <c r="L73" s="27"/>
      <c r="M73" s="132"/>
      <c r="N73" s="27"/>
      <c r="O73" s="105"/>
      <c r="P73" s="105"/>
      <c r="Q73" s="105"/>
      <c r="R73" s="105"/>
      <c r="S73" s="105"/>
    </row>
    <row r="74" spans="1:19" s="87" customFormat="1">
      <c r="A74" s="99" t="s">
        <v>97</v>
      </c>
      <c r="B74" s="76" t="s">
        <v>85</v>
      </c>
      <c r="C74" s="96">
        <f>C75*0.05</f>
        <v>4</v>
      </c>
      <c r="D74" s="71" t="s">
        <v>18</v>
      </c>
      <c r="E74" s="71">
        <v>0</v>
      </c>
      <c r="F74" s="75">
        <v>0</v>
      </c>
      <c r="G74" s="156">
        <f>C74*E74</f>
        <v>0</v>
      </c>
      <c r="H74" s="156">
        <f>C74*F74</f>
        <v>0</v>
      </c>
      <c r="I74" s="104"/>
      <c r="J74" s="105"/>
      <c r="K74" s="105"/>
      <c r="L74" s="27"/>
      <c r="M74" s="132"/>
      <c r="N74" s="27"/>
      <c r="O74" s="105"/>
      <c r="P74" s="105"/>
      <c r="Q74" s="105"/>
      <c r="R74" s="105"/>
      <c r="S74" s="105"/>
    </row>
    <row r="75" spans="1:19" s="87" customFormat="1" ht="33">
      <c r="A75" s="99" t="s">
        <v>98</v>
      </c>
      <c r="B75" s="76" t="s">
        <v>205</v>
      </c>
      <c r="C75" s="96">
        <v>80</v>
      </c>
      <c r="D75" s="71" t="s">
        <v>21</v>
      </c>
      <c r="E75" s="71">
        <v>0</v>
      </c>
      <c r="F75" s="75">
        <v>0</v>
      </c>
      <c r="G75" s="156">
        <f>C75*E75</f>
        <v>0</v>
      </c>
      <c r="H75" s="156">
        <f>C75*F75</f>
        <v>0</v>
      </c>
      <c r="I75" s="104"/>
      <c r="J75" s="105"/>
      <c r="K75" s="105"/>
      <c r="L75" s="105"/>
      <c r="M75" s="132"/>
      <c r="N75" s="105"/>
      <c r="O75" s="105"/>
      <c r="P75" s="105"/>
      <c r="Q75" s="105"/>
      <c r="R75" s="105"/>
      <c r="S75" s="105"/>
    </row>
    <row r="76" spans="1:19" s="87" customFormat="1" ht="49.5">
      <c r="A76" s="99" t="s">
        <v>99</v>
      </c>
      <c r="B76" s="76" t="s">
        <v>204</v>
      </c>
      <c r="C76" s="96">
        <v>40</v>
      </c>
      <c r="D76" s="71" t="s">
        <v>78</v>
      </c>
      <c r="E76" s="71">
        <v>0</v>
      </c>
      <c r="F76" s="75">
        <v>0</v>
      </c>
      <c r="G76" s="156">
        <f>C76*E76</f>
        <v>0</v>
      </c>
      <c r="H76" s="156">
        <f>C76*F76</f>
        <v>0</v>
      </c>
      <c r="I76" s="104"/>
      <c r="J76" s="105"/>
      <c r="K76" s="105"/>
      <c r="L76" s="105"/>
      <c r="M76" s="132"/>
      <c r="N76" s="105"/>
      <c r="O76" s="105"/>
      <c r="P76" s="105"/>
      <c r="Q76" s="105"/>
      <c r="R76" s="105"/>
      <c r="S76" s="105"/>
    </row>
    <row r="77" spans="1:19" s="87" customFormat="1">
      <c r="A77" s="99" t="s">
        <v>100</v>
      </c>
      <c r="B77" s="76" t="s">
        <v>192</v>
      </c>
      <c r="C77" s="109">
        <v>75</v>
      </c>
      <c r="D77" s="91" t="s">
        <v>21</v>
      </c>
      <c r="E77" s="71">
        <v>0</v>
      </c>
      <c r="F77" s="75">
        <v>0</v>
      </c>
      <c r="G77" s="156">
        <f>C77*E77</f>
        <v>0</v>
      </c>
      <c r="H77" s="156">
        <f>C77*F77</f>
        <v>0</v>
      </c>
      <c r="I77" s="104"/>
      <c r="J77" s="105"/>
      <c r="K77" s="105"/>
      <c r="L77" s="105"/>
      <c r="M77" s="132"/>
      <c r="N77" s="105"/>
      <c r="O77" s="105"/>
      <c r="P77" s="71"/>
      <c r="Q77" s="75"/>
      <c r="R77" s="156"/>
      <c r="S77" s="156"/>
    </row>
    <row r="78" spans="1:19" s="87" customFormat="1">
      <c r="A78" s="99"/>
      <c r="B78" s="248" t="s">
        <v>212</v>
      </c>
      <c r="C78" s="77"/>
      <c r="D78" s="89"/>
      <c r="E78" s="246"/>
      <c r="F78" s="246"/>
      <c r="G78" s="246"/>
      <c r="H78" s="246"/>
      <c r="I78" s="104"/>
      <c r="J78" s="105"/>
      <c r="K78" s="105"/>
      <c r="L78" s="105"/>
      <c r="M78" s="132"/>
      <c r="N78" s="105"/>
      <c r="O78" s="105"/>
      <c r="P78" s="71"/>
      <c r="Q78" s="75"/>
      <c r="R78" s="156"/>
      <c r="S78" s="156"/>
    </row>
    <row r="79" spans="1:19" s="87" customFormat="1">
      <c r="A79" s="99"/>
      <c r="B79" s="248" t="s">
        <v>213</v>
      </c>
      <c r="C79" s="77"/>
      <c r="D79" s="89"/>
      <c r="E79" s="246"/>
      <c r="F79" s="246"/>
      <c r="G79" s="246"/>
      <c r="H79" s="246"/>
      <c r="I79" s="104"/>
      <c r="J79" s="105"/>
      <c r="K79" s="105"/>
      <c r="L79" s="105"/>
      <c r="M79" s="132"/>
      <c r="N79" s="105"/>
      <c r="O79" s="105"/>
      <c r="P79" s="105"/>
      <c r="Q79" s="105"/>
      <c r="R79" s="105"/>
      <c r="S79" s="105"/>
    </row>
    <row r="80" spans="1:19" s="87" customFormat="1">
      <c r="A80" s="99" t="s">
        <v>226</v>
      </c>
      <c r="B80" s="108" t="s">
        <v>190</v>
      </c>
      <c r="C80" s="109">
        <v>75</v>
      </c>
      <c r="D80" s="91" t="s">
        <v>21</v>
      </c>
      <c r="E80" s="71">
        <v>0</v>
      </c>
      <c r="F80" s="75">
        <v>0</v>
      </c>
      <c r="G80" s="156">
        <f>C80*E80</f>
        <v>0</v>
      </c>
      <c r="H80" s="156">
        <f>C80*F80</f>
        <v>0</v>
      </c>
      <c r="I80" s="104"/>
      <c r="J80" s="105"/>
      <c r="K80" s="105"/>
      <c r="L80" s="105"/>
      <c r="M80" s="132"/>
      <c r="N80" s="105"/>
      <c r="O80" s="105"/>
      <c r="P80" s="105"/>
      <c r="Q80" s="105"/>
      <c r="R80" s="105"/>
      <c r="S80" s="105"/>
    </row>
    <row r="81" spans="1:19" s="87" customFormat="1" ht="33">
      <c r="A81" s="99" t="s">
        <v>227</v>
      </c>
      <c r="B81" s="76" t="s">
        <v>246</v>
      </c>
      <c r="C81" s="109">
        <f>320+141+40+25+40+185</f>
        <v>751</v>
      </c>
      <c r="D81" s="91" t="s">
        <v>21</v>
      </c>
      <c r="E81" s="71">
        <v>0</v>
      </c>
      <c r="F81" s="75">
        <v>0</v>
      </c>
      <c r="G81" s="156">
        <f>C81*E81</f>
        <v>0</v>
      </c>
      <c r="H81" s="156">
        <f>C81*F81</f>
        <v>0</v>
      </c>
      <c r="I81" s="104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s="87" customFormat="1">
      <c r="A82" s="99"/>
      <c r="B82" s="112"/>
      <c r="C82" s="77"/>
      <c r="D82" s="71"/>
      <c r="E82" s="71"/>
      <c r="F82" s="75"/>
      <c r="G82" s="156"/>
      <c r="H82" s="156"/>
      <c r="I82" s="104"/>
      <c r="J82" s="105"/>
      <c r="K82" s="105"/>
      <c r="L82" s="104"/>
      <c r="M82" s="105"/>
      <c r="N82" s="105"/>
      <c r="O82" s="105"/>
      <c r="P82" s="105"/>
      <c r="Q82" s="105"/>
      <c r="R82" s="105"/>
      <c r="S82" s="105"/>
    </row>
    <row r="83" spans="1:19" s="87" customFormat="1">
      <c r="A83" s="99"/>
      <c r="B83" s="246"/>
      <c r="C83" s="246"/>
      <c r="D83" s="246"/>
      <c r="E83" s="246"/>
      <c r="F83" s="246"/>
      <c r="G83" s="246"/>
      <c r="H83" s="246"/>
      <c r="I83" s="104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spans="1:19" s="87" customFormat="1">
      <c r="A84" s="99"/>
      <c r="B84" s="254" t="s">
        <v>187</v>
      </c>
      <c r="C84" s="274"/>
      <c r="D84" s="275"/>
      <c r="E84" s="237"/>
      <c r="F84" s="238"/>
      <c r="G84" s="239"/>
      <c r="H84" s="239"/>
      <c r="I84" s="104"/>
      <c r="J84" s="105"/>
      <c r="K84" s="105"/>
      <c r="L84" s="105"/>
      <c r="M84" s="105"/>
      <c r="N84" s="105"/>
      <c r="O84" s="105"/>
      <c r="P84" s="105"/>
      <c r="Q84" s="105"/>
      <c r="R84" s="105"/>
      <c r="S84" s="105"/>
    </row>
    <row r="85" spans="1:19" s="87" customFormat="1" ht="24" customHeight="1">
      <c r="A85" s="99" t="s">
        <v>228</v>
      </c>
      <c r="B85" s="76" t="s">
        <v>225</v>
      </c>
      <c r="C85" s="96">
        <v>2.2000000000000002</v>
      </c>
      <c r="D85" s="71" t="s">
        <v>21</v>
      </c>
      <c r="E85" s="71">
        <v>0</v>
      </c>
      <c r="F85" s="75">
        <v>0</v>
      </c>
      <c r="G85" s="156">
        <f>C85*E85</f>
        <v>0</v>
      </c>
      <c r="H85" s="156">
        <f>C85*F85</f>
        <v>0</v>
      </c>
      <c r="I85" s="104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s="87" customFormat="1">
      <c r="A86" s="99" t="s">
        <v>238</v>
      </c>
      <c r="B86" s="76" t="s">
        <v>193</v>
      </c>
      <c r="C86" s="109">
        <v>2.2000000000000002</v>
      </c>
      <c r="D86" s="91" t="s">
        <v>21</v>
      </c>
      <c r="E86" s="71">
        <v>0</v>
      </c>
      <c r="F86" s="75">
        <v>0</v>
      </c>
      <c r="G86" s="156">
        <f>C86*E86</f>
        <v>0</v>
      </c>
      <c r="H86" s="156">
        <f>C86*F86</f>
        <v>0</v>
      </c>
      <c r="I86" s="104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s="87" customFormat="1" ht="30.75" customHeight="1">
      <c r="A87" s="99"/>
      <c r="B87" s="248" t="s">
        <v>251</v>
      </c>
      <c r="C87" s="109"/>
      <c r="D87" s="91"/>
      <c r="E87" s="246"/>
      <c r="F87" s="246"/>
      <c r="G87" s="246"/>
      <c r="H87" s="246"/>
      <c r="I87" s="104"/>
      <c r="J87" s="105"/>
      <c r="K87" s="105"/>
      <c r="L87" s="105"/>
      <c r="M87" s="105"/>
      <c r="N87" s="242"/>
      <c r="O87" s="244"/>
      <c r="P87" s="243"/>
      <c r="Q87" s="243"/>
      <c r="R87" s="105"/>
      <c r="S87" s="105"/>
    </row>
    <row r="88" spans="1:19" s="87" customFormat="1">
      <c r="A88" s="99"/>
      <c r="B88" s="266" t="s">
        <v>252</v>
      </c>
      <c r="C88" s="109"/>
      <c r="D88" s="91"/>
      <c r="E88" s="246"/>
      <c r="F88" s="246"/>
      <c r="G88" s="246"/>
      <c r="H88" s="246"/>
      <c r="I88" s="104"/>
      <c r="J88" s="105"/>
      <c r="K88" s="105"/>
      <c r="L88" s="105"/>
      <c r="M88" s="105"/>
      <c r="N88" s="242"/>
      <c r="O88" s="244"/>
      <c r="P88" s="243"/>
      <c r="Q88" s="243"/>
      <c r="R88" s="105"/>
      <c r="S88" s="105"/>
    </row>
    <row r="89" spans="1:19" s="87" customFormat="1">
      <c r="A89" s="99" t="s">
        <v>239</v>
      </c>
      <c r="B89" s="267" t="s">
        <v>194</v>
      </c>
      <c r="C89" s="109">
        <v>3.8</v>
      </c>
      <c r="D89" s="91" t="s">
        <v>21</v>
      </c>
      <c r="E89" s="71">
        <v>0</v>
      </c>
      <c r="F89" s="75">
        <v>0</v>
      </c>
      <c r="G89" s="156">
        <f>C89*E89</f>
        <v>0</v>
      </c>
      <c r="H89" s="156">
        <f>C89*F89</f>
        <v>0</v>
      </c>
      <c r="I89" s="104"/>
      <c r="J89" s="105"/>
      <c r="K89" s="105"/>
      <c r="L89" s="105"/>
      <c r="M89" s="105"/>
      <c r="N89" s="135"/>
      <c r="O89" s="136"/>
      <c r="P89" s="250"/>
      <c r="Q89" s="250"/>
      <c r="R89" s="105"/>
      <c r="S89" s="105"/>
    </row>
    <row r="90" spans="1:19" s="87" customFormat="1">
      <c r="A90" s="99"/>
      <c r="B90" s="107" t="s">
        <v>214</v>
      </c>
      <c r="C90" s="109"/>
      <c r="D90" s="91"/>
      <c r="E90" s="71"/>
      <c r="F90" s="75"/>
      <c r="G90" s="156"/>
      <c r="H90" s="156"/>
      <c r="I90" s="104"/>
      <c r="J90" s="105"/>
      <c r="K90" s="105"/>
      <c r="L90" s="105"/>
      <c r="M90" s="105"/>
      <c r="N90" s="104"/>
      <c r="O90" s="105"/>
      <c r="P90" s="104"/>
      <c r="Q90" s="105"/>
      <c r="R90" s="105"/>
      <c r="S90" s="105"/>
    </row>
    <row r="91" spans="1:19" s="87" customFormat="1">
      <c r="A91" s="99"/>
      <c r="B91" s="107" t="s">
        <v>215</v>
      </c>
      <c r="C91" s="109"/>
      <c r="D91" s="91"/>
      <c r="E91" s="71"/>
      <c r="F91" s="75"/>
      <c r="G91" s="156"/>
      <c r="H91" s="156"/>
      <c r="I91" s="104"/>
      <c r="J91" s="105"/>
      <c r="K91" s="105"/>
      <c r="L91" s="104"/>
      <c r="M91" s="105"/>
      <c r="N91" s="249"/>
      <c r="O91" s="105"/>
      <c r="P91" s="249"/>
      <c r="Q91" s="105"/>
      <c r="R91" s="105"/>
      <c r="S91" s="105"/>
    </row>
    <row r="92" spans="1:19" s="87" customFormat="1" ht="33">
      <c r="A92" s="99" t="s">
        <v>240</v>
      </c>
      <c r="B92" s="233" t="s">
        <v>223</v>
      </c>
      <c r="C92" s="70">
        <v>1</v>
      </c>
      <c r="D92" s="89" t="s">
        <v>19</v>
      </c>
      <c r="E92" s="71">
        <v>0</v>
      </c>
      <c r="F92" s="75">
        <v>0</v>
      </c>
      <c r="G92" s="157">
        <f>C92*E92</f>
        <v>0</v>
      </c>
      <c r="H92" s="157">
        <f>C92*F92</f>
        <v>0</v>
      </c>
      <c r="I92" s="104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 s="87" customFormat="1">
      <c r="A93" s="99" t="s">
        <v>241</v>
      </c>
      <c r="B93" s="268" t="s">
        <v>224</v>
      </c>
      <c r="C93" s="70">
        <v>13</v>
      </c>
      <c r="D93" s="89" t="s">
        <v>19</v>
      </c>
      <c r="E93" s="71">
        <v>0</v>
      </c>
      <c r="F93" s="75">
        <v>0</v>
      </c>
      <c r="G93" s="157">
        <f>C93*E93</f>
        <v>0</v>
      </c>
      <c r="H93" s="157">
        <f>C93*F93</f>
        <v>0</v>
      </c>
      <c r="I93" s="104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1:19" s="87" customFormat="1">
      <c r="A94" s="99"/>
      <c r="B94" s="76"/>
      <c r="C94" s="109"/>
      <c r="D94" s="91"/>
      <c r="E94" s="71"/>
      <c r="F94" s="75"/>
      <c r="G94" s="156"/>
      <c r="H94" s="156"/>
      <c r="I94" s="104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1:19" s="87" customFormat="1" ht="18.75" customHeight="1">
      <c r="A95" s="93"/>
      <c r="B95" s="252" t="s">
        <v>191</v>
      </c>
      <c r="C95" s="235"/>
      <c r="D95" s="236"/>
      <c r="E95" s="237"/>
      <c r="F95" s="238"/>
      <c r="G95" s="239"/>
      <c r="H95" s="239"/>
      <c r="I95" s="90"/>
    </row>
    <row r="96" spans="1:19" s="87" customFormat="1" ht="18.75" customHeight="1">
      <c r="A96" s="99" t="s">
        <v>242</v>
      </c>
      <c r="B96" s="112" t="s">
        <v>207</v>
      </c>
      <c r="C96" s="96">
        <v>6</v>
      </c>
      <c r="D96" s="71" t="s">
        <v>21</v>
      </c>
      <c r="E96" s="71">
        <v>0</v>
      </c>
      <c r="F96" s="75">
        <v>0</v>
      </c>
      <c r="G96" s="156">
        <f>C96*E96</f>
        <v>0</v>
      </c>
      <c r="H96" s="156">
        <f>C96*F96</f>
        <v>0</v>
      </c>
      <c r="I96" s="90"/>
    </row>
    <row r="97" spans="1:17" s="87" customFormat="1" ht="18.75" customHeight="1">
      <c r="A97" s="99" t="s">
        <v>243</v>
      </c>
      <c r="B97" s="112" t="s">
        <v>193</v>
      </c>
      <c r="C97" s="109">
        <v>5.8</v>
      </c>
      <c r="D97" s="91" t="s">
        <v>21</v>
      </c>
      <c r="E97" s="71">
        <v>0</v>
      </c>
      <c r="F97" s="75">
        <v>0</v>
      </c>
      <c r="G97" s="156">
        <f>C97*E97</f>
        <v>0</v>
      </c>
      <c r="H97" s="156">
        <f>C97*F97</f>
        <v>0</v>
      </c>
      <c r="I97" s="90"/>
    </row>
    <row r="98" spans="1:17" s="87" customFormat="1" ht="34.5" customHeight="1">
      <c r="A98" s="93"/>
      <c r="B98" s="264" t="s">
        <v>247</v>
      </c>
      <c r="C98" s="109"/>
      <c r="D98" s="91"/>
      <c r="E98" s="71"/>
      <c r="F98" s="75"/>
      <c r="G98" s="156"/>
      <c r="H98" s="156"/>
      <c r="I98" s="90"/>
    </row>
    <row r="99" spans="1:17" s="87" customFormat="1" ht="18.75" customHeight="1">
      <c r="A99" s="93"/>
      <c r="B99" s="263" t="s">
        <v>216</v>
      </c>
      <c r="C99" s="205"/>
      <c r="D99" s="91"/>
      <c r="E99" s="71"/>
      <c r="F99" s="75"/>
      <c r="G99" s="156"/>
      <c r="H99" s="156"/>
      <c r="I99" s="90"/>
    </row>
    <row r="100" spans="1:17" s="87" customFormat="1" ht="18.75" customHeight="1">
      <c r="A100" s="99" t="s">
        <v>244</v>
      </c>
      <c r="B100" s="233" t="s">
        <v>219</v>
      </c>
      <c r="C100" s="70">
        <v>10</v>
      </c>
      <c r="D100" s="89" t="s">
        <v>19</v>
      </c>
      <c r="E100" s="71">
        <v>0</v>
      </c>
      <c r="F100" s="75">
        <v>0</v>
      </c>
      <c r="G100" s="157">
        <f t="shared" ref="G100:G101" si="10">C100*E100</f>
        <v>0</v>
      </c>
      <c r="H100" s="157">
        <f t="shared" ref="H100:H101" si="11">C100*F100</f>
        <v>0</v>
      </c>
      <c r="I100" s="90"/>
    </row>
    <row r="101" spans="1:17" s="87" customFormat="1" ht="18.75" customHeight="1">
      <c r="A101" s="99" t="s">
        <v>245</v>
      </c>
      <c r="B101" s="245" t="s">
        <v>220</v>
      </c>
      <c r="C101" s="70">
        <v>4</v>
      </c>
      <c r="D101" s="89" t="s">
        <v>19</v>
      </c>
      <c r="E101" s="71">
        <v>0</v>
      </c>
      <c r="F101" s="75">
        <v>0</v>
      </c>
      <c r="G101" s="157">
        <f t="shared" si="10"/>
        <v>0</v>
      </c>
      <c r="H101" s="157">
        <f t="shared" si="11"/>
        <v>0</v>
      </c>
      <c r="I101" s="90"/>
    </row>
    <row r="102" spans="1:17" s="87" customFormat="1" ht="18.75" customHeight="1">
      <c r="A102" s="99" t="s">
        <v>253</v>
      </c>
      <c r="B102" s="233" t="s">
        <v>249</v>
      </c>
      <c r="C102" s="109">
        <v>3.8</v>
      </c>
      <c r="D102" s="89" t="s">
        <v>18</v>
      </c>
      <c r="E102" s="71">
        <v>0</v>
      </c>
      <c r="F102" s="75">
        <v>0</v>
      </c>
      <c r="G102" s="157">
        <f t="shared" ref="G102:G103" si="12">C102*E102</f>
        <v>0</v>
      </c>
      <c r="H102" s="157">
        <f t="shared" ref="H102:H103" si="13">C102*F102</f>
        <v>0</v>
      </c>
      <c r="I102" s="90"/>
    </row>
    <row r="103" spans="1:17" s="87" customFormat="1" ht="51.75" customHeight="1">
      <c r="A103" s="99" t="s">
        <v>254</v>
      </c>
      <c r="B103" s="241" t="s">
        <v>195</v>
      </c>
      <c r="C103" s="109">
        <v>60</v>
      </c>
      <c r="D103" s="78" t="s">
        <v>19</v>
      </c>
      <c r="E103" s="71">
        <v>0</v>
      </c>
      <c r="F103" s="75">
        <v>0</v>
      </c>
      <c r="G103" s="159">
        <f t="shared" si="12"/>
        <v>0</v>
      </c>
      <c r="H103" s="159">
        <f t="shared" si="13"/>
        <v>0</v>
      </c>
      <c r="I103" s="90"/>
      <c r="L103" s="86"/>
    </row>
    <row r="104" spans="1:17" s="87" customFormat="1" ht="15" customHeight="1">
      <c r="A104" s="93"/>
      <c r="B104" s="112"/>
      <c r="C104" s="205"/>
      <c r="D104" s="89"/>
      <c r="E104" s="71"/>
      <c r="F104" s="75"/>
      <c r="G104" s="156"/>
      <c r="H104" s="156"/>
      <c r="I104" s="90"/>
    </row>
    <row r="105" spans="1:17" s="87" customFormat="1" ht="15.75" customHeight="1">
      <c r="A105" s="93"/>
      <c r="B105" s="254" t="s">
        <v>231</v>
      </c>
      <c r="C105" s="271"/>
      <c r="D105" s="237"/>
      <c r="E105" s="272"/>
      <c r="F105" s="273"/>
      <c r="G105" s="239"/>
      <c r="H105" s="239"/>
      <c r="I105" s="90"/>
    </row>
    <row r="106" spans="1:17" s="87" customFormat="1" ht="15.75" customHeight="1">
      <c r="A106" s="93" t="s">
        <v>255</v>
      </c>
      <c r="B106" s="76" t="s">
        <v>232</v>
      </c>
      <c r="C106" s="96">
        <v>15</v>
      </c>
      <c r="D106" s="71" t="s">
        <v>21</v>
      </c>
      <c r="E106" s="71">
        <v>0</v>
      </c>
      <c r="F106" s="75">
        <v>0</v>
      </c>
      <c r="G106" s="156">
        <f>C106*E106</f>
        <v>0</v>
      </c>
      <c r="H106" s="156">
        <f>C106*F106</f>
        <v>0</v>
      </c>
      <c r="I106" s="90"/>
    </row>
    <row r="107" spans="1:17" s="87" customFormat="1" ht="15.75" customHeight="1">
      <c r="A107" s="93" t="s">
        <v>256</v>
      </c>
      <c r="B107" s="76" t="s">
        <v>193</v>
      </c>
      <c r="C107" s="109">
        <v>15</v>
      </c>
      <c r="D107" s="91" t="s">
        <v>21</v>
      </c>
      <c r="E107" s="71">
        <v>0</v>
      </c>
      <c r="F107" s="75">
        <v>0</v>
      </c>
      <c r="G107" s="156">
        <f>C107*E107</f>
        <v>0</v>
      </c>
      <c r="H107" s="156">
        <f>C107*F107</f>
        <v>0</v>
      </c>
      <c r="I107" s="90"/>
    </row>
    <row r="108" spans="1:17" s="87" customFormat="1" ht="32.25" customHeight="1">
      <c r="A108" s="93"/>
      <c r="B108" s="264" t="s">
        <v>250</v>
      </c>
      <c r="C108" s="109"/>
      <c r="D108" s="91"/>
      <c r="E108" s="71"/>
      <c r="F108" s="75"/>
      <c r="G108" s="156"/>
      <c r="H108" s="156"/>
      <c r="I108" s="90"/>
    </row>
    <row r="109" spans="1:17" s="87" customFormat="1" ht="15.75" customHeight="1">
      <c r="A109" s="93"/>
      <c r="B109" s="265" t="s">
        <v>230</v>
      </c>
      <c r="C109" s="109"/>
      <c r="D109" s="91"/>
      <c r="E109" s="71"/>
      <c r="F109" s="75"/>
      <c r="G109" s="156"/>
      <c r="H109" s="156"/>
      <c r="I109" s="90"/>
    </row>
    <row r="110" spans="1:17" s="87" customFormat="1" ht="18.75" customHeight="1">
      <c r="A110" s="93" t="s">
        <v>257</v>
      </c>
      <c r="B110" s="142" t="s">
        <v>221</v>
      </c>
      <c r="C110" s="70">
        <f>35</f>
        <v>35</v>
      </c>
      <c r="D110" s="89" t="s">
        <v>19</v>
      </c>
      <c r="E110" s="71">
        <v>0</v>
      </c>
      <c r="F110" s="75">
        <v>0</v>
      </c>
      <c r="G110" s="157">
        <f t="shared" ref="G110:G112" si="14">C110*E110</f>
        <v>0</v>
      </c>
      <c r="H110" s="157">
        <f t="shared" ref="H110:H112" si="15">C110*F110</f>
        <v>0</v>
      </c>
      <c r="I110" s="90"/>
    </row>
    <row r="111" spans="1:17" s="87" customFormat="1" ht="18.75" customHeight="1">
      <c r="A111" s="99" t="s">
        <v>258</v>
      </c>
      <c r="B111" s="142" t="s">
        <v>222</v>
      </c>
      <c r="C111" s="70">
        <f>26</f>
        <v>26</v>
      </c>
      <c r="D111" s="89" t="s">
        <v>19</v>
      </c>
      <c r="E111" s="71">
        <v>0</v>
      </c>
      <c r="F111" s="75">
        <v>0</v>
      </c>
      <c r="G111" s="157">
        <f t="shared" ref="G111" si="16">C111*E111</f>
        <v>0</v>
      </c>
      <c r="H111" s="157">
        <f t="shared" ref="H111" si="17">C111*F111</f>
        <v>0</v>
      </c>
      <c r="I111" s="90"/>
    </row>
    <row r="112" spans="1:17" s="87" customFormat="1" ht="18.75" customHeight="1">
      <c r="A112" s="99" t="s">
        <v>259</v>
      </c>
      <c r="B112" s="142" t="s">
        <v>248</v>
      </c>
      <c r="C112" s="109">
        <v>10.3</v>
      </c>
      <c r="D112" s="89" t="s">
        <v>18</v>
      </c>
      <c r="E112" s="71">
        <v>0</v>
      </c>
      <c r="F112" s="75">
        <v>0</v>
      </c>
      <c r="G112" s="157">
        <f t="shared" si="14"/>
        <v>0</v>
      </c>
      <c r="H112" s="157">
        <f t="shared" si="15"/>
        <v>0</v>
      </c>
      <c r="I112" s="90"/>
      <c r="P112" s="242"/>
      <c r="Q112" s="262"/>
    </row>
    <row r="113" spans="1:17" s="87" customFormat="1" ht="18.75" customHeight="1">
      <c r="A113" s="99"/>
      <c r="B113" s="264"/>
      <c r="C113" s="109"/>
      <c r="D113" s="89"/>
      <c r="E113" s="71"/>
      <c r="F113" s="80"/>
      <c r="G113" s="157"/>
      <c r="H113" s="157"/>
      <c r="I113" s="90"/>
      <c r="P113" s="242"/>
      <c r="Q113" s="262"/>
    </row>
    <row r="114" spans="1:17" s="87" customFormat="1" ht="18.75" customHeight="1">
      <c r="A114" s="99"/>
      <c r="B114" s="264"/>
      <c r="C114" s="109"/>
      <c r="D114" s="89"/>
      <c r="E114" s="71"/>
      <c r="F114" s="80"/>
      <c r="G114" s="159"/>
      <c r="H114" s="159"/>
      <c r="I114" s="90"/>
      <c r="Q114" s="262"/>
    </row>
    <row r="115" spans="1:17" s="87" customFormat="1" ht="18.75" customHeight="1" thickBot="1">
      <c r="A115" s="110"/>
      <c r="B115" s="199"/>
      <c r="C115" s="144"/>
      <c r="D115" s="145"/>
      <c r="E115" s="194"/>
      <c r="F115" s="195"/>
      <c r="G115" s="196"/>
      <c r="H115" s="196"/>
      <c r="I115" s="90"/>
      <c r="L115" s="90"/>
      <c r="M115" s="86"/>
      <c r="Q115" s="262"/>
    </row>
    <row r="116" spans="1:17" s="170" customFormat="1">
      <c r="A116" s="178"/>
      <c r="B116" s="179" t="s">
        <v>25</v>
      </c>
      <c r="C116" s="180"/>
      <c r="D116" s="181"/>
      <c r="E116" s="123"/>
      <c r="F116" s="123"/>
      <c r="G116" s="160">
        <f>SUM(G54:G115)</f>
        <v>0</v>
      </c>
      <c r="H116" s="160">
        <f>SUM(H54:H115)</f>
        <v>0</v>
      </c>
      <c r="I116" s="161"/>
    </row>
    <row r="117" spans="1:17">
      <c r="A117" s="93"/>
      <c r="B117" s="74"/>
      <c r="C117" s="70"/>
      <c r="D117" s="71"/>
      <c r="E117" s="72"/>
      <c r="F117" s="75"/>
      <c r="G117" s="154"/>
      <c r="H117" s="155"/>
      <c r="I117" s="90"/>
    </row>
    <row r="118" spans="1:17">
      <c r="A118" s="73" t="s">
        <v>26</v>
      </c>
      <c r="B118" s="231" t="s">
        <v>167</v>
      </c>
      <c r="C118" s="70"/>
      <c r="D118" s="71"/>
      <c r="E118" s="72"/>
      <c r="F118" s="75"/>
      <c r="G118" s="154"/>
      <c r="H118" s="155"/>
      <c r="I118" s="90"/>
    </row>
    <row r="119" spans="1:17" s="87" customFormat="1">
      <c r="A119" s="95"/>
      <c r="B119" s="74"/>
      <c r="C119" s="70"/>
      <c r="D119" s="71"/>
      <c r="E119" s="72"/>
      <c r="F119" s="75"/>
      <c r="G119" s="157"/>
      <c r="H119" s="157"/>
      <c r="I119" s="86"/>
    </row>
    <row r="120" spans="1:17" s="87" customFormat="1" ht="33">
      <c r="A120" s="93" t="s">
        <v>93</v>
      </c>
      <c r="B120" s="201" t="s">
        <v>202</v>
      </c>
      <c r="C120" s="70">
        <v>16</v>
      </c>
      <c r="D120" s="89" t="s">
        <v>19</v>
      </c>
      <c r="E120" s="71">
        <v>0</v>
      </c>
      <c r="F120" s="75">
        <v>0</v>
      </c>
      <c r="G120" s="157">
        <f t="shared" ref="G120:G122" si="18">C120*E120</f>
        <v>0</v>
      </c>
      <c r="H120" s="157">
        <f t="shared" ref="H120:H122" si="19">C120*F120</f>
        <v>0</v>
      </c>
      <c r="I120" s="86"/>
    </row>
    <row r="121" spans="1:17" s="87" customFormat="1" ht="36" customHeight="1">
      <c r="A121" s="99" t="s">
        <v>94</v>
      </c>
      <c r="B121" s="112" t="s">
        <v>185</v>
      </c>
      <c r="C121" s="70">
        <v>12</v>
      </c>
      <c r="D121" s="89" t="s">
        <v>19</v>
      </c>
      <c r="E121" s="71">
        <v>0</v>
      </c>
      <c r="F121" s="75">
        <v>0</v>
      </c>
      <c r="G121" s="157">
        <f t="shared" si="18"/>
        <v>0</v>
      </c>
      <c r="H121" s="157">
        <f t="shared" si="19"/>
        <v>0</v>
      </c>
      <c r="I121" s="86"/>
      <c r="L121" s="86"/>
      <c r="M121" s="112"/>
    </row>
    <row r="122" spans="1:17" s="87" customFormat="1">
      <c r="A122" s="99" t="s">
        <v>95</v>
      </c>
      <c r="B122" s="112" t="s">
        <v>217</v>
      </c>
      <c r="C122" s="70">
        <v>1</v>
      </c>
      <c r="D122" s="89" t="s">
        <v>19</v>
      </c>
      <c r="E122" s="71">
        <v>0</v>
      </c>
      <c r="F122" s="75">
        <v>0</v>
      </c>
      <c r="G122" s="157">
        <f t="shared" si="18"/>
        <v>0</v>
      </c>
      <c r="H122" s="157">
        <f t="shared" si="19"/>
        <v>0</v>
      </c>
      <c r="I122" s="86"/>
      <c r="L122" s="86"/>
    </row>
    <row r="123" spans="1:17" s="87" customFormat="1">
      <c r="A123" s="99" t="s">
        <v>96</v>
      </c>
      <c r="B123" s="76" t="s">
        <v>180</v>
      </c>
      <c r="C123" s="70">
        <v>2</v>
      </c>
      <c r="D123" s="89" t="s">
        <v>19</v>
      </c>
      <c r="E123" s="71">
        <v>0</v>
      </c>
      <c r="F123" s="75">
        <v>0</v>
      </c>
      <c r="G123" s="157">
        <f>C123*E123</f>
        <v>0</v>
      </c>
      <c r="H123" s="157">
        <f>C123*F123</f>
        <v>0</v>
      </c>
      <c r="I123" s="86"/>
      <c r="L123" s="111"/>
    </row>
    <row r="124" spans="1:17" s="87" customFormat="1">
      <c r="A124" s="93" t="s">
        <v>97</v>
      </c>
      <c r="B124" s="143" t="s">
        <v>165</v>
      </c>
      <c r="C124" s="70">
        <v>2</v>
      </c>
      <c r="D124" s="89" t="s">
        <v>19</v>
      </c>
      <c r="E124" s="71">
        <v>0</v>
      </c>
      <c r="F124" s="75">
        <v>0</v>
      </c>
      <c r="G124" s="157">
        <f>C124*E124</f>
        <v>0</v>
      </c>
      <c r="H124" s="157">
        <f>C124*F124</f>
        <v>0</v>
      </c>
      <c r="I124" s="86"/>
      <c r="L124" s="111"/>
    </row>
    <row r="125" spans="1:17" s="87" customFormat="1" ht="33">
      <c r="A125" s="269">
        <v>6</v>
      </c>
      <c r="B125" s="143" t="s">
        <v>179</v>
      </c>
      <c r="C125" s="70">
        <v>8</v>
      </c>
      <c r="D125" s="89" t="s">
        <v>19</v>
      </c>
      <c r="E125" s="71">
        <v>0</v>
      </c>
      <c r="F125" s="75">
        <v>0</v>
      </c>
      <c r="G125" s="157">
        <f>C125*E125</f>
        <v>0</v>
      </c>
      <c r="H125" s="157">
        <f>C125*F125</f>
        <v>0</v>
      </c>
      <c r="I125" s="86"/>
      <c r="L125" s="111"/>
    </row>
    <row r="126" spans="1:17" s="87" customFormat="1" ht="33">
      <c r="A126" s="99" t="s">
        <v>99</v>
      </c>
      <c r="B126" s="76" t="s">
        <v>184</v>
      </c>
      <c r="C126" s="109">
        <v>6</v>
      </c>
      <c r="D126" s="89" t="s">
        <v>21</v>
      </c>
      <c r="E126" s="71">
        <v>0</v>
      </c>
      <c r="F126" s="75">
        <v>0</v>
      </c>
      <c r="G126" s="156">
        <f>C126*E126</f>
        <v>0</v>
      </c>
      <c r="H126" s="156">
        <f>C126*F126</f>
        <v>0</v>
      </c>
      <c r="I126" s="86"/>
      <c r="L126" s="111"/>
    </row>
    <row r="127" spans="1:17" s="87" customFormat="1" ht="17.25" thickBot="1">
      <c r="A127" s="198"/>
      <c r="B127" s="199"/>
      <c r="C127" s="199"/>
      <c r="D127" s="199"/>
      <c r="E127" s="199"/>
      <c r="F127" s="199"/>
      <c r="G127" s="200"/>
      <c r="H127" s="200"/>
      <c r="I127" s="86"/>
      <c r="L127" s="111"/>
    </row>
    <row r="128" spans="1:17" s="170" customFormat="1">
      <c r="A128" s="165"/>
      <c r="B128" s="173" t="s">
        <v>27</v>
      </c>
      <c r="C128" s="174"/>
      <c r="D128" s="175"/>
      <c r="E128" s="176"/>
      <c r="F128" s="176"/>
      <c r="G128" s="177">
        <f>SUM(G120:G127)</f>
        <v>0</v>
      </c>
      <c r="H128" s="177">
        <f>SUM(H120:H127)</f>
        <v>0</v>
      </c>
      <c r="I128" s="161"/>
    </row>
    <row r="129" spans="1:9" s="114" customFormat="1">
      <c r="A129" s="93"/>
      <c r="B129" s="74"/>
      <c r="C129" s="70"/>
      <c r="D129" s="71"/>
      <c r="E129" s="72"/>
      <c r="F129" s="75"/>
      <c r="G129" s="154"/>
      <c r="H129" s="155"/>
      <c r="I129" s="113"/>
    </row>
    <row r="130" spans="1:9" s="92" customFormat="1">
      <c r="A130" s="73" t="s">
        <v>28</v>
      </c>
      <c r="B130" s="74" t="s">
        <v>29</v>
      </c>
      <c r="C130" s="70"/>
      <c r="D130" s="71"/>
      <c r="E130" s="72"/>
      <c r="F130" s="75"/>
      <c r="G130" s="154"/>
      <c r="H130" s="155"/>
      <c r="I130" s="90"/>
    </row>
    <row r="131" spans="1:9" s="20" customFormat="1" ht="69.75" customHeight="1">
      <c r="A131" s="93" t="s">
        <v>93</v>
      </c>
      <c r="B131" s="115" t="s">
        <v>382</v>
      </c>
      <c r="C131" s="116">
        <v>77</v>
      </c>
      <c r="D131" s="117" t="s">
        <v>19</v>
      </c>
      <c r="E131" s="119">
        <f>Terv._Növ_I_ütem!J25</f>
        <v>0</v>
      </c>
      <c r="F131" s="75">
        <v>0</v>
      </c>
      <c r="G131" s="157">
        <f>E131</f>
        <v>0</v>
      </c>
      <c r="H131" s="157">
        <f>C131*F131</f>
        <v>0</v>
      </c>
      <c r="I131" s="86"/>
    </row>
    <row r="132" spans="1:9" s="20" customFormat="1">
      <c r="A132" s="93" t="s">
        <v>94</v>
      </c>
      <c r="B132" s="115" t="s">
        <v>218</v>
      </c>
      <c r="C132" s="70">
        <v>77</v>
      </c>
      <c r="D132" s="89" t="s">
        <v>19</v>
      </c>
      <c r="E132" s="71">
        <v>0</v>
      </c>
      <c r="F132" s="75">
        <v>0</v>
      </c>
      <c r="G132" s="157">
        <f t="shared" ref="G132:G138" si="20">C132*E132</f>
        <v>0</v>
      </c>
      <c r="H132" s="157">
        <f t="shared" ref="H132:H138" si="21">C132*F132</f>
        <v>0</v>
      </c>
      <c r="I132" s="86"/>
    </row>
    <row r="133" spans="1:9" s="20" customFormat="1" ht="82.5">
      <c r="A133" s="93" t="s">
        <v>95</v>
      </c>
      <c r="B133" s="115" t="s">
        <v>383</v>
      </c>
      <c r="C133" s="77">
        <v>746</v>
      </c>
      <c r="D133" s="91" t="s">
        <v>21</v>
      </c>
      <c r="E133" s="117">
        <f>Terv._Növ_I_ütem!J39/746</f>
        <v>0</v>
      </c>
      <c r="F133" s="75">
        <v>0</v>
      </c>
      <c r="G133" s="157">
        <f t="shared" si="20"/>
        <v>0</v>
      </c>
      <c r="H133" s="157">
        <f t="shared" si="21"/>
        <v>0</v>
      </c>
      <c r="I133" s="234"/>
    </row>
    <row r="134" spans="1:9" s="20" customFormat="1" ht="66">
      <c r="A134" s="93" t="s">
        <v>96</v>
      </c>
      <c r="B134" s="151" t="s">
        <v>384</v>
      </c>
      <c r="C134" s="77">
        <v>270</v>
      </c>
      <c r="D134" s="152" t="s">
        <v>21</v>
      </c>
      <c r="E134" s="153">
        <f>Terv._Növ_I_ütem!J50/270</f>
        <v>0</v>
      </c>
      <c r="F134" s="75"/>
      <c r="G134" s="202">
        <f t="shared" si="20"/>
        <v>0</v>
      </c>
      <c r="H134" s="202">
        <f t="shared" si="21"/>
        <v>0</v>
      </c>
      <c r="I134" s="86"/>
    </row>
    <row r="135" spans="1:9" s="20" customFormat="1" ht="49.5">
      <c r="A135" s="93" t="s">
        <v>97</v>
      </c>
      <c r="B135" s="115" t="s">
        <v>385</v>
      </c>
      <c r="C135" s="77">
        <f>250</f>
        <v>250</v>
      </c>
      <c r="D135" s="152" t="s">
        <v>21</v>
      </c>
      <c r="E135" s="153">
        <f>Terv._Növ_I_ütem!J63/250</f>
        <v>0</v>
      </c>
      <c r="F135" s="75">
        <v>0</v>
      </c>
      <c r="G135" s="202">
        <f t="shared" si="20"/>
        <v>0</v>
      </c>
      <c r="H135" s="202">
        <f t="shared" si="21"/>
        <v>0</v>
      </c>
      <c r="I135" s="86"/>
    </row>
    <row r="136" spans="1:9" s="20" customFormat="1">
      <c r="A136" s="93" t="s">
        <v>98</v>
      </c>
      <c r="B136" s="85" t="s">
        <v>81</v>
      </c>
      <c r="C136" s="77">
        <v>6380</v>
      </c>
      <c r="D136" s="89" t="s">
        <v>21</v>
      </c>
      <c r="E136" s="118">
        <v>0</v>
      </c>
      <c r="F136" s="75">
        <v>0</v>
      </c>
      <c r="G136" s="156">
        <f t="shared" si="20"/>
        <v>0</v>
      </c>
      <c r="H136" s="156">
        <f t="shared" si="21"/>
        <v>0</v>
      </c>
      <c r="I136" s="86"/>
    </row>
    <row r="137" spans="1:9" s="20" customFormat="1">
      <c r="A137" s="93" t="s">
        <v>99</v>
      </c>
      <c r="B137" s="85" t="s">
        <v>237</v>
      </c>
      <c r="C137" s="77">
        <f>5636*0.1*1.2</f>
        <v>676.32</v>
      </c>
      <c r="D137" s="89" t="s">
        <v>18</v>
      </c>
      <c r="E137" s="71">
        <v>0</v>
      </c>
      <c r="F137" s="75">
        <v>0</v>
      </c>
      <c r="G137" s="156">
        <f t="shared" si="20"/>
        <v>0</v>
      </c>
      <c r="H137" s="156">
        <f t="shared" si="21"/>
        <v>0</v>
      </c>
      <c r="I137" s="86"/>
    </row>
    <row r="138" spans="1:9" s="20" customFormat="1" ht="17.25" thickBot="1">
      <c r="A138" s="93" t="s">
        <v>100</v>
      </c>
      <c r="B138" s="85" t="s">
        <v>20</v>
      </c>
      <c r="C138" s="77">
        <f>5636</f>
        <v>5636</v>
      </c>
      <c r="D138" s="89" t="s">
        <v>21</v>
      </c>
      <c r="E138" s="71">
        <v>0</v>
      </c>
      <c r="F138" s="75">
        <v>0</v>
      </c>
      <c r="G138" s="156">
        <f t="shared" si="20"/>
        <v>0</v>
      </c>
      <c r="H138" s="426">
        <f t="shared" si="21"/>
        <v>0</v>
      </c>
      <c r="I138" s="86"/>
    </row>
    <row r="139" spans="1:9" s="170" customFormat="1">
      <c r="A139" s="172"/>
      <c r="B139" s="166" t="s">
        <v>30</v>
      </c>
      <c r="C139" s="167"/>
      <c r="D139" s="167"/>
      <c r="E139" s="168"/>
      <c r="F139" s="168"/>
      <c r="G139" s="169">
        <f>SUM(G131:G138)</f>
        <v>0</v>
      </c>
      <c r="H139" s="169">
        <f>SUM(H131:H138)</f>
        <v>0</v>
      </c>
      <c r="I139" s="161"/>
    </row>
    <row r="140" spans="1:9" s="184" customFormat="1">
      <c r="A140" s="165"/>
      <c r="B140" s="206"/>
      <c r="C140" s="207"/>
      <c r="D140" s="207"/>
      <c r="E140" s="208"/>
      <c r="F140" s="208"/>
      <c r="G140" s="209"/>
      <c r="H140" s="209"/>
      <c r="I140" s="210"/>
    </row>
    <row r="141" spans="1:9" s="184" customFormat="1">
      <c r="A141" s="73" t="s">
        <v>379</v>
      </c>
      <c r="B141" s="232" t="s">
        <v>377</v>
      </c>
      <c r="C141" s="207"/>
      <c r="D141" s="207"/>
      <c r="E141" s="208"/>
      <c r="F141" s="208"/>
      <c r="G141" s="209"/>
      <c r="H141" s="209"/>
      <c r="I141" s="210"/>
    </row>
    <row r="142" spans="1:9" s="184" customFormat="1">
      <c r="A142" s="93" t="s">
        <v>93</v>
      </c>
      <c r="B142" s="76" t="s">
        <v>374</v>
      </c>
      <c r="C142" s="116">
        <v>1</v>
      </c>
      <c r="D142" s="117" t="s">
        <v>82</v>
      </c>
      <c r="E142" s="79">
        <v>0</v>
      </c>
      <c r="F142" s="80">
        <v>0</v>
      </c>
      <c r="G142" s="156">
        <f>C142*E142</f>
        <v>0</v>
      </c>
      <c r="H142" s="156">
        <f>C142*F142</f>
        <v>0</v>
      </c>
      <c r="I142" s="210"/>
    </row>
    <row r="143" spans="1:9" s="184" customFormat="1">
      <c r="A143" s="93" t="s">
        <v>94</v>
      </c>
      <c r="B143" s="76" t="s">
        <v>375</v>
      </c>
      <c r="C143" s="116">
        <v>1</v>
      </c>
      <c r="D143" s="117" t="s">
        <v>82</v>
      </c>
      <c r="E143" s="79">
        <v>0</v>
      </c>
      <c r="F143" s="80">
        <v>0</v>
      </c>
      <c r="G143" s="156">
        <f>C143*E143</f>
        <v>0</v>
      </c>
      <c r="H143" s="156">
        <f>C143*F143</f>
        <v>0</v>
      </c>
      <c r="I143" s="210"/>
    </row>
    <row r="144" spans="1:9" s="184" customFormat="1">
      <c r="A144" s="93" t="s">
        <v>95</v>
      </c>
      <c r="B144" s="421" t="s">
        <v>436</v>
      </c>
      <c r="C144" s="116">
        <v>1</v>
      </c>
      <c r="D144" s="117" t="s">
        <v>82</v>
      </c>
      <c r="E144" s="71">
        <v>0</v>
      </c>
      <c r="F144" s="75">
        <v>0</v>
      </c>
      <c r="G144" s="156">
        <f>C144*E144</f>
        <v>0</v>
      </c>
      <c r="H144" s="156">
        <f>C144*F144</f>
        <v>0</v>
      </c>
      <c r="I144" s="210"/>
    </row>
    <row r="145" spans="1:14" s="184" customFormat="1" ht="17.25" thickBot="1">
      <c r="A145" s="165"/>
      <c r="B145" s="421"/>
      <c r="C145" s="422"/>
      <c r="D145" s="423"/>
      <c r="E145" s="424"/>
      <c r="F145" s="424"/>
      <c r="G145" s="425"/>
      <c r="H145" s="425"/>
      <c r="I145" s="210"/>
    </row>
    <row r="146" spans="1:14" s="184" customFormat="1">
      <c r="A146" s="73"/>
      <c r="B146" s="166" t="s">
        <v>378</v>
      </c>
      <c r="C146" s="167"/>
      <c r="D146" s="167"/>
      <c r="E146" s="168"/>
      <c r="F146" s="168"/>
      <c r="G146" s="169">
        <f>SUM(G142:G145)</f>
        <v>0</v>
      </c>
      <c r="H146" s="169">
        <f>SUM(H142:H145)</f>
        <v>0</v>
      </c>
      <c r="I146" s="210"/>
    </row>
    <row r="147" spans="1:14" s="114" customFormat="1">
      <c r="A147" s="93"/>
      <c r="B147" s="232"/>
      <c r="C147" s="70"/>
      <c r="D147" s="71"/>
      <c r="E147" s="72"/>
      <c r="F147" s="75"/>
      <c r="G147" s="154"/>
      <c r="H147" s="155"/>
      <c r="I147" s="113"/>
      <c r="L147" s="146"/>
      <c r="M147" s="146"/>
      <c r="N147" s="147"/>
    </row>
    <row r="148" spans="1:14" s="22" customFormat="1">
      <c r="A148" s="120"/>
      <c r="B148" s="121" t="s">
        <v>31</v>
      </c>
      <c r="C148" s="122"/>
      <c r="D148" s="122"/>
      <c r="E148" s="121"/>
      <c r="F148" s="122"/>
      <c r="G148" s="160">
        <f>G50+G116+G128+G139+G146</f>
        <v>0</v>
      </c>
      <c r="H148" s="160">
        <f>H50+H116+H128+H139+H146</f>
        <v>0</v>
      </c>
      <c r="I148" s="90"/>
    </row>
    <row r="149" spans="1:14" s="22" customFormat="1">
      <c r="A149" s="120"/>
      <c r="B149" s="124" t="s">
        <v>32</v>
      </c>
      <c r="C149" s="125"/>
      <c r="D149" s="126"/>
      <c r="E149" s="124"/>
      <c r="F149" s="125"/>
      <c r="G149" s="453">
        <f>G148+H148</f>
        <v>0</v>
      </c>
      <c r="H149" s="454"/>
      <c r="I149" s="90"/>
    </row>
    <row r="150" spans="1:14" s="50" customFormat="1">
      <c r="A150" s="127"/>
      <c r="B150" s="162" t="s">
        <v>6</v>
      </c>
      <c r="C150" s="163"/>
      <c r="D150" s="163"/>
      <c r="E150" s="162"/>
      <c r="F150" s="163"/>
      <c r="G150" s="455">
        <f>G151-G149</f>
        <v>0</v>
      </c>
      <c r="H150" s="456"/>
      <c r="I150" s="164"/>
    </row>
    <row r="151" spans="1:14" s="22" customFormat="1" ht="17.25" thickBot="1">
      <c r="A151" s="128"/>
      <c r="B151" s="148" t="s">
        <v>7</v>
      </c>
      <c r="C151" s="149"/>
      <c r="D151" s="150"/>
      <c r="E151" s="148"/>
      <c r="F151" s="149"/>
      <c r="G151" s="457">
        <f>G149*1.27</f>
        <v>0</v>
      </c>
      <c r="H151" s="458"/>
      <c r="I151" s="160"/>
      <c r="J151" s="453"/>
      <c r="K151" s="454"/>
      <c r="L151" s="211"/>
    </row>
    <row r="152" spans="1:14" s="105" customFormat="1">
      <c r="A152" s="129"/>
      <c r="B152" s="130"/>
      <c r="C152" s="63"/>
      <c r="D152" s="51"/>
      <c r="E152" s="130"/>
      <c r="F152" s="63"/>
      <c r="G152" s="141"/>
      <c r="H152" s="141"/>
      <c r="I152" s="131"/>
      <c r="J152" s="141"/>
      <c r="K152" s="141"/>
    </row>
    <row r="153" spans="1:14" s="87" customFormat="1">
      <c r="A153" s="17"/>
      <c r="B153" s="39"/>
      <c r="C153" s="63"/>
      <c r="D153" s="51"/>
      <c r="E153" s="67"/>
      <c r="F153" s="67"/>
      <c r="G153" s="67"/>
      <c r="H153" s="67"/>
      <c r="I153" s="131"/>
    </row>
    <row r="154" spans="1:14" s="87" customFormat="1">
      <c r="A154" s="17"/>
      <c r="B154" s="39"/>
      <c r="C154" s="63"/>
      <c r="D154" s="51"/>
      <c r="E154" s="67"/>
      <c r="F154" s="67"/>
      <c r="G154" s="67"/>
      <c r="H154" s="67"/>
      <c r="I154" s="131"/>
    </row>
    <row r="155" spans="1:14" s="87" customFormat="1">
      <c r="A155" s="17"/>
      <c r="B155" s="39"/>
      <c r="C155" s="63"/>
      <c r="D155" s="51"/>
      <c r="E155" s="67"/>
      <c r="F155" s="67"/>
      <c r="G155" s="67"/>
      <c r="H155" s="67"/>
      <c r="I155" s="131"/>
    </row>
  </sheetData>
  <sheetProtection password="C70B" sheet="1" objects="1" scenarios="1"/>
  <protectedRanges>
    <protectedRange password="C70B" sqref="E32:F48 E64:F67 E74:F81 E85:F86 E89:F89 E92:F93 E96:F97 E100:F103 E106:F107 E110:F112 E120:F126 F131 E132:F132 F133:F135 E136:F138 B145:H145 B144 E142:F144" name="Tartomány1" securityDescriptor="O:WDG:WDD:(A;;CC;;;WD)"/>
  </protectedRanges>
  <mergeCells count="5">
    <mergeCell ref="A7:C7"/>
    <mergeCell ref="G149:H149"/>
    <mergeCell ref="G150:H150"/>
    <mergeCell ref="G151:H151"/>
    <mergeCell ref="J151:K151"/>
  </mergeCells>
  <pageMargins left="0.62992125984251968" right="0.23622047244094491" top="0.74803149606299213" bottom="0.74803149606299213" header="0.31496062992125984" footer="0.31496062992125984"/>
  <pageSetup paperSize="9" scale="60" orientation="portrait" horizontalDpi="1200" verticalDpi="1200" r:id="rId1"/>
  <rowBreaks count="3" manualBreakCount="3">
    <brk id="25" max="16383" man="1"/>
    <brk id="83" max="7" man="1"/>
    <brk id="12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8" workbookViewId="0">
      <selection activeCell="E24" sqref="E24"/>
    </sheetView>
  </sheetViews>
  <sheetFormatPr defaultRowHeight="15.75"/>
  <cols>
    <col min="1" max="1" width="9.140625" style="434"/>
    <col min="2" max="2" width="25" style="434" customWidth="1"/>
    <col min="3" max="16384" width="9.140625" style="434"/>
  </cols>
  <sheetData>
    <row r="1" spans="1:8">
      <c r="A1" s="283"/>
      <c r="B1" s="284"/>
      <c r="C1" s="285"/>
      <c r="D1" s="283"/>
      <c r="E1" s="286"/>
      <c r="F1" s="287"/>
      <c r="G1" s="283"/>
      <c r="H1" s="283"/>
    </row>
    <row r="2" spans="1:8">
      <c r="A2" s="474" t="s">
        <v>266</v>
      </c>
      <c r="B2" s="475"/>
      <c r="C2" s="475"/>
      <c r="D2" s="475"/>
      <c r="E2" s="475"/>
      <c r="F2" s="475"/>
      <c r="G2" s="475"/>
      <c r="H2" s="475"/>
    </row>
    <row r="3" spans="1:8">
      <c r="A3" s="283"/>
      <c r="B3" s="289"/>
      <c r="C3" s="290"/>
      <c r="D3" s="289"/>
      <c r="E3" s="291"/>
      <c r="F3" s="289"/>
      <c r="G3" s="289"/>
      <c r="H3" s="289"/>
    </row>
    <row r="4" spans="1:8" ht="18.75">
      <c r="A4" s="292"/>
      <c r="B4" s="476" t="s">
        <v>261</v>
      </c>
      <c r="C4" s="476"/>
      <c r="D4" s="476"/>
      <c r="E4" s="476"/>
      <c r="F4" s="476"/>
      <c r="G4" s="476"/>
      <c r="H4" s="292"/>
    </row>
    <row r="5" spans="1:8">
      <c r="A5" s="292"/>
      <c r="B5" s="473" t="s">
        <v>267</v>
      </c>
      <c r="C5" s="473"/>
      <c r="D5" s="473"/>
      <c r="E5" s="473"/>
      <c r="F5" s="473"/>
      <c r="G5" s="473"/>
      <c r="H5" s="292"/>
    </row>
    <row r="6" spans="1:8">
      <c r="A6" s="292"/>
      <c r="B6" s="477"/>
      <c r="C6" s="477"/>
      <c r="D6" s="477"/>
      <c r="E6" s="477"/>
      <c r="F6" s="477"/>
      <c r="G6" s="477"/>
      <c r="H6" s="292"/>
    </row>
    <row r="7" spans="1:8">
      <c r="A7" s="292"/>
      <c r="B7" s="477"/>
      <c r="C7" s="477"/>
      <c r="D7" s="477"/>
      <c r="E7" s="477"/>
      <c r="F7" s="477"/>
      <c r="G7" s="477"/>
      <c r="H7" s="292"/>
    </row>
    <row r="8" spans="1:8">
      <c r="A8" s="292"/>
      <c r="B8" s="473" t="s">
        <v>367</v>
      </c>
      <c r="C8" s="473"/>
      <c r="D8" s="473"/>
      <c r="E8" s="473"/>
      <c r="F8" s="473"/>
      <c r="G8" s="473"/>
      <c r="H8" s="292"/>
    </row>
    <row r="9" spans="1:8">
      <c r="A9" s="292"/>
      <c r="B9" s="473"/>
      <c r="C9" s="473"/>
      <c r="D9" s="473"/>
      <c r="E9" s="473"/>
      <c r="F9" s="473"/>
      <c r="G9" s="473"/>
      <c r="H9" s="292"/>
    </row>
    <row r="10" spans="1:8">
      <c r="A10" s="292"/>
      <c r="B10" s="292"/>
      <c r="C10" s="293"/>
      <c r="D10" s="292"/>
      <c r="E10" s="292"/>
      <c r="F10" s="292"/>
      <c r="G10" s="292"/>
      <c r="H10" s="292"/>
    </row>
    <row r="11" spans="1:8">
      <c r="A11" s="292"/>
      <c r="B11" s="292"/>
      <c r="C11" s="293"/>
      <c r="D11" s="292"/>
      <c r="E11" s="292"/>
      <c r="F11" s="292"/>
      <c r="G11" s="292"/>
      <c r="H11" s="292"/>
    </row>
    <row r="12" spans="1:8">
      <c r="A12" s="292"/>
      <c r="B12" s="292"/>
      <c r="C12" s="295"/>
      <c r="D12" s="292"/>
      <c r="E12" s="292"/>
      <c r="F12" s="292"/>
      <c r="G12" s="292"/>
      <c r="H12" s="292"/>
    </row>
    <row r="13" spans="1:8">
      <c r="A13" s="292"/>
      <c r="B13" s="292"/>
      <c r="C13" s="295"/>
      <c r="D13" s="292"/>
      <c r="E13" s="292"/>
      <c r="F13" s="292"/>
      <c r="G13" s="292"/>
      <c r="H13" s="292"/>
    </row>
    <row r="14" spans="1:8" ht="25.5">
      <c r="A14" s="296" t="s">
        <v>270</v>
      </c>
      <c r="B14" s="428"/>
      <c r="C14" s="298"/>
      <c r="D14" s="428"/>
      <c r="E14" s="299"/>
      <c r="F14" s="300"/>
      <c r="G14" s="429" t="s">
        <v>271</v>
      </c>
      <c r="H14" s="429" t="s">
        <v>272</v>
      </c>
    </row>
    <row r="15" spans="1:8">
      <c r="A15" s="469" t="str">
        <f>A39</f>
        <v>I. Földmunkák, oszlopállítás</v>
      </c>
      <c r="B15" s="469"/>
      <c r="C15" s="469"/>
      <c r="D15" s="469"/>
      <c r="E15" s="469"/>
      <c r="F15" s="469"/>
      <c r="G15" s="469"/>
      <c r="H15" s="469"/>
    </row>
    <row r="16" spans="1:8">
      <c r="A16" s="303">
        <v>1</v>
      </c>
      <c r="B16" s="470" t="s">
        <v>391</v>
      </c>
      <c r="C16" s="470"/>
      <c r="D16" s="470"/>
      <c r="E16" s="460" t="s">
        <v>273</v>
      </c>
      <c r="F16" s="460"/>
      <c r="G16" s="303">
        <f>G54</f>
        <v>0</v>
      </c>
      <c r="H16" s="303">
        <f>H54</f>
        <v>0</v>
      </c>
    </row>
    <row r="17" spans="1:8">
      <c r="A17" s="471" t="str">
        <f>A58</f>
        <v>II. Kábelszerelés, lámpatest elhelyezés</v>
      </c>
      <c r="B17" s="472"/>
      <c r="C17" s="472"/>
      <c r="D17" s="472"/>
      <c r="E17" s="304"/>
      <c r="F17" s="304"/>
      <c r="G17" s="304"/>
      <c r="H17" s="305"/>
    </row>
    <row r="18" spans="1:8">
      <c r="A18" s="303">
        <v>2</v>
      </c>
      <c r="B18" s="470" t="s">
        <v>392</v>
      </c>
      <c r="C18" s="470"/>
      <c r="D18" s="470"/>
      <c r="E18" s="460" t="s">
        <v>273</v>
      </c>
      <c r="F18" s="460"/>
      <c r="G18" s="303">
        <f>G69</f>
        <v>0</v>
      </c>
      <c r="H18" s="303">
        <f>H69</f>
        <v>0</v>
      </c>
    </row>
    <row r="19" spans="1:8">
      <c r="A19" s="306"/>
      <c r="B19" s="307"/>
      <c r="C19" s="308"/>
      <c r="D19" s="309"/>
      <c r="E19" s="461" t="s">
        <v>274</v>
      </c>
      <c r="F19" s="462"/>
      <c r="G19" s="310">
        <f>SUM(G16:G18)</f>
        <v>0</v>
      </c>
      <c r="H19" s="310">
        <f>SUM(H16:H18)</f>
        <v>0</v>
      </c>
    </row>
    <row r="20" spans="1:8">
      <c r="A20" s="292"/>
      <c r="B20" s="292"/>
      <c r="C20" s="295"/>
      <c r="D20" s="292"/>
      <c r="E20" s="292"/>
      <c r="F20" s="311" t="s">
        <v>275</v>
      </c>
      <c r="G20" s="311">
        <f>G19*0.27</f>
        <v>0</v>
      </c>
      <c r="H20" s="311">
        <f>H19*0.27</f>
        <v>0</v>
      </c>
    </row>
    <row r="21" spans="1:8">
      <c r="A21" s="292"/>
      <c r="B21" s="292"/>
      <c r="C21" s="295"/>
      <c r="D21" s="463" t="s">
        <v>276</v>
      </c>
      <c r="E21" s="463"/>
      <c r="F21" s="463"/>
      <c r="G21" s="311">
        <f>SUM(G19:G20)</f>
        <v>0</v>
      </c>
      <c r="H21" s="311">
        <f>SUM(H19:H20)</f>
        <v>0</v>
      </c>
    </row>
    <row r="22" spans="1:8">
      <c r="A22" s="464"/>
      <c r="B22" s="464"/>
      <c r="C22" s="464"/>
      <c r="D22" s="464"/>
      <c r="E22" s="464"/>
      <c r="F22" s="464"/>
      <c r="G22" s="464"/>
      <c r="H22" s="464"/>
    </row>
    <row r="23" spans="1:8">
      <c r="A23" s="464"/>
      <c r="B23" s="464"/>
      <c r="C23" s="464"/>
      <c r="D23" s="464"/>
      <c r="E23" s="464"/>
      <c r="F23" s="464"/>
      <c r="G23" s="464"/>
      <c r="H23" s="464"/>
    </row>
    <row r="24" spans="1:8">
      <c r="A24" s="292"/>
      <c r="B24" s="292"/>
      <c r="C24" s="295"/>
      <c r="D24" s="292"/>
      <c r="E24" s="292"/>
      <c r="F24" s="292"/>
      <c r="G24" s="292"/>
      <c r="H24" s="292"/>
    </row>
    <row r="25" spans="1:8">
      <c r="A25" s="292"/>
      <c r="B25" s="292"/>
      <c r="C25" s="295"/>
      <c r="D25" s="292"/>
      <c r="E25" s="292"/>
      <c r="F25" s="292"/>
      <c r="G25" s="292"/>
      <c r="H25" s="292"/>
    </row>
    <row r="26" spans="1:8">
      <c r="A26" s="464" t="s">
        <v>277</v>
      </c>
      <c r="B26" s="464"/>
      <c r="C26" s="295"/>
      <c r="D26" s="292"/>
      <c r="E26" s="292"/>
      <c r="F26" s="292"/>
      <c r="G26" s="292"/>
      <c r="H26" s="292"/>
    </row>
    <row r="27" spans="1:8">
      <c r="A27" s="292"/>
      <c r="B27" s="292"/>
      <c r="C27" s="295"/>
      <c r="D27" s="292"/>
      <c r="E27" s="292"/>
      <c r="F27" s="292"/>
      <c r="G27" s="292"/>
      <c r="H27" s="292"/>
    </row>
    <row r="28" spans="1:8">
      <c r="A28" s="292"/>
      <c r="B28" s="292" t="s">
        <v>393</v>
      </c>
      <c r="C28" s="295"/>
      <c r="D28" s="292"/>
      <c r="E28" s="292"/>
      <c r="F28" s="292"/>
      <c r="G28" s="292"/>
      <c r="H28" s="292"/>
    </row>
    <row r="29" spans="1:8">
      <c r="A29" s="292"/>
      <c r="B29" s="292" t="s">
        <v>394</v>
      </c>
      <c r="C29" s="295"/>
      <c r="D29" s="292"/>
      <c r="E29" s="292"/>
      <c r="F29" s="292"/>
      <c r="G29" s="292"/>
      <c r="H29" s="292"/>
    </row>
    <row r="30" spans="1:8">
      <c r="A30" s="292"/>
      <c r="B30" s="292" t="s">
        <v>395</v>
      </c>
      <c r="C30" s="295"/>
      <c r="D30" s="292"/>
      <c r="E30" s="292"/>
      <c r="F30" s="292"/>
      <c r="G30" s="292"/>
      <c r="H30" s="292"/>
    </row>
    <row r="31" spans="1:8">
      <c r="A31" s="306"/>
      <c r="B31" s="312"/>
      <c r="C31" s="295"/>
      <c r="D31" s="292"/>
      <c r="E31" s="292"/>
      <c r="F31" s="292"/>
      <c r="G31" s="292"/>
      <c r="H31" s="292"/>
    </row>
    <row r="32" spans="1:8">
      <c r="A32" s="306"/>
      <c r="B32" s="312"/>
      <c r="C32" s="295"/>
      <c r="D32" s="292"/>
      <c r="E32" s="292"/>
      <c r="F32" s="292"/>
      <c r="G32" s="292"/>
      <c r="H32" s="292"/>
    </row>
    <row r="33" spans="1:8">
      <c r="A33" s="306"/>
      <c r="B33" s="312"/>
      <c r="C33" s="295"/>
      <c r="D33" s="292"/>
      <c r="E33" s="292"/>
      <c r="F33" s="292"/>
      <c r="G33" s="292"/>
      <c r="H33" s="292"/>
    </row>
    <row r="34" spans="1:8">
      <c r="A34" s="306"/>
      <c r="B34" s="312"/>
      <c r="C34" s="295"/>
      <c r="D34" s="292"/>
      <c r="E34" s="292"/>
      <c r="F34" s="292"/>
      <c r="G34" s="292"/>
      <c r="H34" s="292"/>
    </row>
    <row r="35" spans="1:8">
      <c r="A35" s="306"/>
      <c r="B35" s="312"/>
      <c r="C35" s="295"/>
      <c r="D35" s="292"/>
      <c r="E35" s="292"/>
      <c r="F35" s="292"/>
      <c r="G35" s="292"/>
      <c r="H35" s="292"/>
    </row>
    <row r="36" spans="1:8">
      <c r="A36" s="306"/>
      <c r="B36" s="465" t="s">
        <v>282</v>
      </c>
      <c r="C36" s="465"/>
      <c r="D36" s="465"/>
      <c r="E36" s="465"/>
      <c r="F36" s="465"/>
      <c r="G36" s="465"/>
      <c r="H36" s="292"/>
    </row>
    <row r="37" spans="1:8">
      <c r="A37" s="292"/>
      <c r="B37" s="292"/>
      <c r="C37" s="295"/>
      <c r="D37" s="292"/>
      <c r="E37" s="292"/>
      <c r="F37" s="292"/>
      <c r="G37" s="292"/>
      <c r="H37" s="292"/>
    </row>
    <row r="38" spans="1:8" ht="16.5" thickBot="1">
      <c r="A38" s="313"/>
      <c r="B38" s="313"/>
      <c r="C38" s="314"/>
      <c r="D38" s="313"/>
      <c r="E38" s="315"/>
      <c r="F38" s="313"/>
      <c r="G38" s="313"/>
      <c r="H38" s="313"/>
    </row>
    <row r="39" spans="1:8" ht="16.5" thickBot="1">
      <c r="A39" s="466" t="s">
        <v>396</v>
      </c>
      <c r="B39" s="467"/>
      <c r="C39" s="467"/>
      <c r="D39" s="467"/>
      <c r="E39" s="467"/>
      <c r="F39" s="467"/>
      <c r="G39" s="467"/>
      <c r="H39" s="468"/>
    </row>
    <row r="40" spans="1:8" ht="25.5">
      <c r="A40" s="317" t="s">
        <v>284</v>
      </c>
      <c r="B40" s="318" t="s">
        <v>9</v>
      </c>
      <c r="C40" s="319" t="s">
        <v>285</v>
      </c>
      <c r="D40" s="318" t="s">
        <v>286</v>
      </c>
      <c r="E40" s="318" t="s">
        <v>287</v>
      </c>
      <c r="F40" s="318" t="s">
        <v>288</v>
      </c>
      <c r="G40" s="318" t="s">
        <v>271</v>
      </c>
      <c r="H40" s="318" t="s">
        <v>272</v>
      </c>
    </row>
    <row r="41" spans="1:8" ht="25.5">
      <c r="A41" s="323" t="s">
        <v>290</v>
      </c>
      <c r="B41" s="324" t="s">
        <v>358</v>
      </c>
      <c r="C41" s="325">
        <v>255</v>
      </c>
      <c r="D41" s="321" t="s">
        <v>18</v>
      </c>
      <c r="E41" s="429">
        <v>0</v>
      </c>
      <c r="F41" s="429">
        <v>0</v>
      </c>
      <c r="G41" s="429">
        <f>C41*E41</f>
        <v>0</v>
      </c>
      <c r="H41" s="429">
        <f>C41*F41</f>
        <v>0</v>
      </c>
    </row>
    <row r="42" spans="1:8" ht="25.5">
      <c r="A42" s="326" t="s">
        <v>397</v>
      </c>
      <c r="B42" s="435" t="s">
        <v>359</v>
      </c>
      <c r="C42" s="436">
        <v>10</v>
      </c>
      <c r="D42" s="321" t="s">
        <v>18</v>
      </c>
      <c r="E42" s="429">
        <v>0</v>
      </c>
      <c r="F42" s="429">
        <v>0</v>
      </c>
      <c r="G42" s="429">
        <f>C42*E42</f>
        <v>0</v>
      </c>
      <c r="H42" s="429">
        <f>C42*F42</f>
        <v>0</v>
      </c>
    </row>
    <row r="43" spans="1:8" ht="25.5">
      <c r="A43" s="326" t="s">
        <v>398</v>
      </c>
      <c r="B43" s="435" t="s">
        <v>360</v>
      </c>
      <c r="C43" s="436">
        <v>5</v>
      </c>
      <c r="D43" s="321" t="s">
        <v>18</v>
      </c>
      <c r="E43" s="429">
        <v>0</v>
      </c>
      <c r="F43" s="429">
        <v>0</v>
      </c>
      <c r="G43" s="429">
        <f t="shared" ref="G43:G53" si="0">C43*E43</f>
        <v>0</v>
      </c>
      <c r="H43" s="429">
        <f t="shared" ref="H43:H53" si="1">C43*F43</f>
        <v>0</v>
      </c>
    </row>
    <row r="44" spans="1:8" ht="25.5">
      <c r="A44" s="326" t="s">
        <v>399</v>
      </c>
      <c r="B44" s="435" t="s">
        <v>361</v>
      </c>
      <c r="C44" s="436">
        <v>361</v>
      </c>
      <c r="D44" s="321" t="s">
        <v>21</v>
      </c>
      <c r="E44" s="429">
        <v>0</v>
      </c>
      <c r="F44" s="429">
        <v>0</v>
      </c>
      <c r="G44" s="429">
        <f t="shared" si="0"/>
        <v>0</v>
      </c>
      <c r="H44" s="429">
        <f t="shared" si="1"/>
        <v>0</v>
      </c>
    </row>
    <row r="45" spans="1:8" ht="25.5">
      <c r="A45" s="326" t="s">
        <v>400</v>
      </c>
      <c r="B45" s="435" t="s">
        <v>362</v>
      </c>
      <c r="C45" s="436">
        <v>250</v>
      </c>
      <c r="D45" s="321" t="s">
        <v>18</v>
      </c>
      <c r="E45" s="429">
        <v>0</v>
      </c>
      <c r="F45" s="429">
        <v>0</v>
      </c>
      <c r="G45" s="429">
        <f t="shared" si="0"/>
        <v>0</v>
      </c>
      <c r="H45" s="429">
        <f t="shared" si="1"/>
        <v>0</v>
      </c>
    </row>
    <row r="46" spans="1:8">
      <c r="A46" s="326" t="s">
        <v>401</v>
      </c>
      <c r="B46" s="435" t="s">
        <v>363</v>
      </c>
      <c r="C46" s="436">
        <v>3</v>
      </c>
      <c r="D46" s="321" t="s">
        <v>19</v>
      </c>
      <c r="E46" s="429">
        <v>0</v>
      </c>
      <c r="F46" s="429">
        <v>0</v>
      </c>
      <c r="G46" s="429">
        <f t="shared" si="0"/>
        <v>0</v>
      </c>
      <c r="H46" s="429">
        <f t="shared" si="1"/>
        <v>0</v>
      </c>
    </row>
    <row r="47" spans="1:8" ht="25.5">
      <c r="A47" s="326" t="s">
        <v>402</v>
      </c>
      <c r="B47" s="435" t="s">
        <v>364</v>
      </c>
      <c r="C47" s="436">
        <v>226</v>
      </c>
      <c r="D47" s="321" t="s">
        <v>263</v>
      </c>
      <c r="E47" s="429">
        <v>0</v>
      </c>
      <c r="F47" s="429">
        <v>0</v>
      </c>
      <c r="G47" s="429">
        <f t="shared" si="0"/>
        <v>0</v>
      </c>
      <c r="H47" s="429">
        <f t="shared" si="1"/>
        <v>0</v>
      </c>
    </row>
    <row r="48" spans="1:8" ht="38.25">
      <c r="A48" s="326" t="s">
        <v>403</v>
      </c>
      <c r="B48" s="435" t="s">
        <v>404</v>
      </c>
      <c r="C48" s="436">
        <v>740</v>
      </c>
      <c r="D48" s="321" t="s">
        <v>263</v>
      </c>
      <c r="E48" s="429">
        <v>0</v>
      </c>
      <c r="F48" s="429">
        <v>0</v>
      </c>
      <c r="G48" s="429">
        <f t="shared" si="0"/>
        <v>0</v>
      </c>
      <c r="H48" s="429">
        <f t="shared" si="1"/>
        <v>0</v>
      </c>
    </row>
    <row r="49" spans="1:8" ht="38.25">
      <c r="A49" s="326" t="s">
        <v>405</v>
      </c>
      <c r="B49" s="435" t="s">
        <v>406</v>
      </c>
      <c r="C49" s="436">
        <v>722</v>
      </c>
      <c r="D49" s="321" t="s">
        <v>19</v>
      </c>
      <c r="E49" s="429">
        <v>0</v>
      </c>
      <c r="F49" s="429">
        <v>0</v>
      </c>
      <c r="G49" s="429">
        <f t="shared" si="0"/>
        <v>0</v>
      </c>
      <c r="H49" s="429">
        <f t="shared" si="1"/>
        <v>0</v>
      </c>
    </row>
    <row r="50" spans="1:8" ht="38.25">
      <c r="A50" s="326" t="s">
        <v>407</v>
      </c>
      <c r="B50" s="435" t="s">
        <v>408</v>
      </c>
      <c r="C50" s="436">
        <v>722</v>
      </c>
      <c r="D50" s="321" t="s">
        <v>263</v>
      </c>
      <c r="E50" s="429">
        <v>0</v>
      </c>
      <c r="F50" s="429">
        <v>0</v>
      </c>
      <c r="G50" s="429">
        <f t="shared" si="0"/>
        <v>0</v>
      </c>
      <c r="H50" s="429">
        <f t="shared" si="1"/>
        <v>0</v>
      </c>
    </row>
    <row r="51" spans="1:8" ht="38.25">
      <c r="A51" s="326" t="s">
        <v>409</v>
      </c>
      <c r="B51" s="435" t="s">
        <v>410</v>
      </c>
      <c r="C51" s="436">
        <v>8</v>
      </c>
      <c r="D51" s="321" t="s">
        <v>19</v>
      </c>
      <c r="E51" s="429">
        <v>0</v>
      </c>
      <c r="F51" s="429">
        <v>0</v>
      </c>
      <c r="G51" s="429">
        <f t="shared" si="0"/>
        <v>0</v>
      </c>
      <c r="H51" s="429">
        <f t="shared" si="1"/>
        <v>0</v>
      </c>
    </row>
    <row r="52" spans="1:8" ht="38.25">
      <c r="A52" s="326" t="s">
        <v>411</v>
      </c>
      <c r="B52" s="435" t="s">
        <v>412</v>
      </c>
      <c r="C52" s="436">
        <v>27</v>
      </c>
      <c r="D52" s="321" t="s">
        <v>19</v>
      </c>
      <c r="E52" s="429">
        <v>0</v>
      </c>
      <c r="F52" s="429">
        <v>0</v>
      </c>
      <c r="G52" s="429">
        <f t="shared" si="0"/>
        <v>0</v>
      </c>
      <c r="H52" s="429">
        <f t="shared" si="1"/>
        <v>0</v>
      </c>
    </row>
    <row r="53" spans="1:8" ht="51">
      <c r="A53" s="326" t="s">
        <v>413</v>
      </c>
      <c r="B53" s="435" t="s">
        <v>414</v>
      </c>
      <c r="C53" s="436">
        <v>35</v>
      </c>
      <c r="D53" s="321" t="s">
        <v>19</v>
      </c>
      <c r="E53" s="429">
        <v>0</v>
      </c>
      <c r="F53" s="429">
        <v>0</v>
      </c>
      <c r="G53" s="429">
        <f t="shared" si="0"/>
        <v>0</v>
      </c>
      <c r="H53" s="429">
        <f t="shared" si="1"/>
        <v>0</v>
      </c>
    </row>
    <row r="54" spans="1:8">
      <c r="A54" s="321"/>
      <c r="B54" s="448" t="s">
        <v>396</v>
      </c>
      <c r="C54" s="459"/>
      <c r="D54" s="449"/>
      <c r="E54" s="460" t="s">
        <v>273</v>
      </c>
      <c r="F54" s="460"/>
      <c r="G54" s="429">
        <f>SUM(G41:G42)</f>
        <v>0</v>
      </c>
      <c r="H54" s="429">
        <f>SUM(H41:H42)</f>
        <v>0</v>
      </c>
    </row>
    <row r="55" spans="1:8">
      <c r="A55" s="330"/>
      <c r="B55" s="331"/>
      <c r="C55" s="332"/>
      <c r="D55" s="333"/>
      <c r="E55" s="333"/>
      <c r="F55" s="333"/>
      <c r="G55" s="333"/>
      <c r="H55" s="333"/>
    </row>
    <row r="56" spans="1:8">
      <c r="A56" s="283"/>
      <c r="B56" s="331"/>
      <c r="C56" s="334"/>
      <c r="D56" s="331"/>
      <c r="E56" s="333"/>
      <c r="F56" s="333"/>
      <c r="G56" s="335"/>
      <c r="H56" s="335"/>
    </row>
    <row r="57" spans="1:8" ht="16.5" thickBot="1">
      <c r="A57" s="306"/>
      <c r="B57" s="307"/>
      <c r="C57" s="308"/>
      <c r="D57" s="309"/>
      <c r="E57" s="337"/>
      <c r="F57" s="338"/>
      <c r="G57" s="339"/>
      <c r="H57" s="340"/>
    </row>
    <row r="58" spans="1:8" ht="16.5" thickBot="1">
      <c r="A58" s="466" t="s">
        <v>415</v>
      </c>
      <c r="B58" s="467"/>
      <c r="C58" s="467"/>
      <c r="D58" s="467"/>
      <c r="E58" s="467"/>
      <c r="F58" s="467"/>
      <c r="G58" s="467"/>
      <c r="H58" s="468"/>
    </row>
    <row r="59" spans="1:8" ht="25.5">
      <c r="A59" s="318" t="s">
        <v>284</v>
      </c>
      <c r="B59" s="318" t="s">
        <v>9</v>
      </c>
      <c r="C59" s="319" t="s">
        <v>285</v>
      </c>
      <c r="D59" s="318" t="s">
        <v>286</v>
      </c>
      <c r="E59" s="318" t="s">
        <v>287</v>
      </c>
      <c r="F59" s="318" t="s">
        <v>288</v>
      </c>
      <c r="G59" s="318" t="s">
        <v>271</v>
      </c>
      <c r="H59" s="318" t="s">
        <v>272</v>
      </c>
    </row>
    <row r="60" spans="1:8">
      <c r="A60" s="320" t="s">
        <v>94</v>
      </c>
      <c r="B60" s="448" t="s">
        <v>300</v>
      </c>
      <c r="C60" s="449"/>
      <c r="D60" s="321"/>
      <c r="E60" s="321"/>
      <c r="F60" s="322"/>
      <c r="G60" s="429"/>
      <c r="H60" s="429"/>
    </row>
    <row r="61" spans="1:8" ht="25.5">
      <c r="A61" s="323" t="s">
        <v>295</v>
      </c>
      <c r="B61" s="324" t="s">
        <v>416</v>
      </c>
      <c r="C61" s="325">
        <v>8</v>
      </c>
      <c r="D61" s="321" t="s">
        <v>19</v>
      </c>
      <c r="E61" s="429">
        <v>0</v>
      </c>
      <c r="F61" s="429">
        <v>0</v>
      </c>
      <c r="G61" s="429">
        <f t="shared" ref="G61:G68" si="2">C61*E61</f>
        <v>0</v>
      </c>
      <c r="H61" s="429">
        <f t="shared" ref="H61:H68" si="3">C61*F61</f>
        <v>0</v>
      </c>
    </row>
    <row r="62" spans="1:8" ht="25.5">
      <c r="A62" s="323" t="s">
        <v>417</v>
      </c>
      <c r="B62" s="341" t="s">
        <v>418</v>
      </c>
      <c r="C62" s="325">
        <v>27</v>
      </c>
      <c r="D62" s="321" t="s">
        <v>19</v>
      </c>
      <c r="E62" s="429">
        <v>0</v>
      </c>
      <c r="F62" s="429">
        <v>0</v>
      </c>
      <c r="G62" s="429">
        <f t="shared" si="2"/>
        <v>0</v>
      </c>
      <c r="H62" s="429">
        <f t="shared" si="3"/>
        <v>0</v>
      </c>
    </row>
    <row r="63" spans="1:8" ht="38.25">
      <c r="A63" s="323" t="s">
        <v>419</v>
      </c>
      <c r="B63" s="341" t="s">
        <v>420</v>
      </c>
      <c r="C63" s="325">
        <v>8</v>
      </c>
      <c r="D63" s="321" t="s">
        <v>19</v>
      </c>
      <c r="E63" s="429">
        <v>0</v>
      </c>
      <c r="F63" s="429">
        <v>0</v>
      </c>
      <c r="G63" s="429">
        <f t="shared" si="2"/>
        <v>0</v>
      </c>
      <c r="H63" s="429">
        <f t="shared" si="3"/>
        <v>0</v>
      </c>
    </row>
    <row r="64" spans="1:8" ht="51">
      <c r="A64" s="323" t="s">
        <v>421</v>
      </c>
      <c r="B64" s="341" t="s">
        <v>422</v>
      </c>
      <c r="C64" s="325">
        <v>23</v>
      </c>
      <c r="D64" s="321" t="s">
        <v>19</v>
      </c>
      <c r="E64" s="429">
        <v>0</v>
      </c>
      <c r="F64" s="429">
        <v>0</v>
      </c>
      <c r="G64" s="429">
        <f t="shared" si="2"/>
        <v>0</v>
      </c>
      <c r="H64" s="429">
        <f t="shared" si="3"/>
        <v>0</v>
      </c>
    </row>
    <row r="65" spans="1:8" ht="51">
      <c r="A65" s="323" t="s">
        <v>423</v>
      </c>
      <c r="B65" s="341" t="s">
        <v>424</v>
      </c>
      <c r="C65" s="325">
        <v>4</v>
      </c>
      <c r="D65" s="321" t="s">
        <v>19</v>
      </c>
      <c r="E65" s="429">
        <v>0</v>
      </c>
      <c r="F65" s="429">
        <v>0</v>
      </c>
      <c r="G65" s="429">
        <f t="shared" si="2"/>
        <v>0</v>
      </c>
      <c r="H65" s="429">
        <f t="shared" si="3"/>
        <v>0</v>
      </c>
    </row>
    <row r="66" spans="1:8" ht="25.5">
      <c r="A66" s="323" t="s">
        <v>425</v>
      </c>
      <c r="B66" s="342" t="s">
        <v>426</v>
      </c>
      <c r="C66" s="325">
        <v>10</v>
      </c>
      <c r="D66" s="321" t="s">
        <v>19</v>
      </c>
      <c r="E66" s="429">
        <v>0</v>
      </c>
      <c r="F66" s="429">
        <v>0</v>
      </c>
      <c r="G66" s="429">
        <f t="shared" si="2"/>
        <v>0</v>
      </c>
      <c r="H66" s="429">
        <f t="shared" si="3"/>
        <v>0</v>
      </c>
    </row>
    <row r="67" spans="1:8">
      <c r="A67" s="323" t="s">
        <v>427</v>
      </c>
      <c r="B67" s="341" t="s">
        <v>365</v>
      </c>
      <c r="C67" s="325">
        <v>10</v>
      </c>
      <c r="D67" s="321" t="s">
        <v>19</v>
      </c>
      <c r="E67" s="429">
        <v>0</v>
      </c>
      <c r="F67" s="429">
        <v>0</v>
      </c>
      <c r="G67" s="429">
        <f t="shared" si="2"/>
        <v>0</v>
      </c>
      <c r="H67" s="429">
        <f t="shared" si="3"/>
        <v>0</v>
      </c>
    </row>
    <row r="68" spans="1:8">
      <c r="A68" s="323" t="s">
        <v>428</v>
      </c>
      <c r="B68" s="342" t="s">
        <v>366</v>
      </c>
      <c r="C68" s="325">
        <v>2</v>
      </c>
      <c r="D68" s="321" t="s">
        <v>19</v>
      </c>
      <c r="E68" s="429">
        <v>0</v>
      </c>
      <c r="F68" s="429">
        <v>0</v>
      </c>
      <c r="G68" s="429">
        <f t="shared" si="2"/>
        <v>0</v>
      </c>
      <c r="H68" s="429">
        <f t="shared" si="3"/>
        <v>0</v>
      </c>
    </row>
    <row r="69" spans="1:8">
      <c r="A69" s="321"/>
      <c r="B69" s="448" t="str">
        <f>B60</f>
        <v>Ácsmunka</v>
      </c>
      <c r="C69" s="459"/>
      <c r="D69" s="449"/>
      <c r="E69" s="460" t="s">
        <v>273</v>
      </c>
      <c r="F69" s="460"/>
      <c r="G69" s="429">
        <f>SUM(G61:G66)</f>
        <v>0</v>
      </c>
      <c r="H69" s="429">
        <f>SUM(H61:H66)</f>
        <v>0</v>
      </c>
    </row>
    <row r="70" spans="1:8">
      <c r="A70" s="330"/>
      <c r="B70" s="331"/>
      <c r="C70" s="332"/>
      <c r="D70" s="333"/>
      <c r="E70" s="333"/>
      <c r="F70" s="333"/>
      <c r="G70" s="333"/>
      <c r="H70" s="333"/>
    </row>
  </sheetData>
  <sheetProtection password="C70B" sheet="1" objects="1" scenarios="1"/>
  <protectedRanges>
    <protectedRange password="C70B" sqref="E41:F53 E61:F68" name="Tartomány1" securityDescriptor="O:WDG:WDD:(A;;CC;;;WD)"/>
  </protectedRanges>
  <mergeCells count="25">
    <mergeCell ref="B9:G9"/>
    <mergeCell ref="A2:H2"/>
    <mergeCell ref="B4:G4"/>
    <mergeCell ref="B5:G5"/>
    <mergeCell ref="B6:G7"/>
    <mergeCell ref="B8:G8"/>
    <mergeCell ref="A15:H15"/>
    <mergeCell ref="B16:D16"/>
    <mergeCell ref="E16:F16"/>
    <mergeCell ref="A17:D17"/>
    <mergeCell ref="B18:D18"/>
    <mergeCell ref="E18:F18"/>
    <mergeCell ref="B69:D69"/>
    <mergeCell ref="E69:F69"/>
    <mergeCell ref="E19:F19"/>
    <mergeCell ref="D21:F21"/>
    <mergeCell ref="A22:H22"/>
    <mergeCell ref="A23:H23"/>
    <mergeCell ref="A26:B26"/>
    <mergeCell ref="B36:G36"/>
    <mergeCell ref="A39:H39"/>
    <mergeCell ref="B54:D54"/>
    <mergeCell ref="E54:F54"/>
    <mergeCell ref="A58:H58"/>
    <mergeCell ref="B60:C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5" workbookViewId="0">
      <selection activeCell="G65" sqref="G65"/>
    </sheetView>
  </sheetViews>
  <sheetFormatPr defaultRowHeight="12.75"/>
  <cols>
    <col min="1" max="1" width="8.42578125" style="374" customWidth="1"/>
    <col min="2" max="2" width="40.7109375" style="371" customWidth="1"/>
    <col min="3" max="3" width="10" style="372" customWidth="1"/>
    <col min="4" max="4" width="7.28515625" style="369" customWidth="1"/>
    <col min="5" max="6" width="9.140625" style="369"/>
    <col min="7" max="7" width="12.42578125" style="369" bestFit="1" customWidth="1"/>
    <col min="8" max="16384" width="9.140625" style="369"/>
  </cols>
  <sheetData>
    <row r="1" spans="1:8" ht="18.75">
      <c r="B1" s="476" t="s">
        <v>261</v>
      </c>
      <c r="C1" s="476"/>
      <c r="D1" s="476"/>
      <c r="E1" s="476"/>
      <c r="F1" s="476"/>
      <c r="G1" s="476"/>
    </row>
    <row r="2" spans="1:8" ht="15.75">
      <c r="B2" s="473" t="s">
        <v>267</v>
      </c>
      <c r="C2" s="473"/>
      <c r="D2" s="473"/>
      <c r="E2" s="473"/>
      <c r="F2" s="473"/>
      <c r="G2" s="473"/>
    </row>
    <row r="3" spans="1:8">
      <c r="B3" s="477"/>
      <c r="C3" s="477"/>
      <c r="D3" s="477"/>
      <c r="E3" s="477"/>
      <c r="F3" s="477"/>
      <c r="G3" s="477"/>
    </row>
    <row r="4" spans="1:8">
      <c r="B4" s="477"/>
      <c r="C4" s="477"/>
      <c r="D4" s="477"/>
      <c r="E4" s="477"/>
      <c r="F4" s="477"/>
      <c r="G4" s="477"/>
    </row>
    <row r="5" spans="1:8" ht="15.75">
      <c r="B5" s="473" t="s">
        <v>441</v>
      </c>
      <c r="C5" s="473"/>
      <c r="D5" s="473"/>
      <c r="E5" s="473"/>
      <c r="F5" s="473"/>
      <c r="G5" s="473"/>
    </row>
    <row r="8" spans="1:8" ht="25.5">
      <c r="A8" s="296" t="s">
        <v>270</v>
      </c>
      <c r="B8" s="432"/>
      <c r="C8" s="298"/>
      <c r="D8" s="432"/>
      <c r="E8" s="299"/>
      <c r="F8" s="300"/>
      <c r="G8" s="430" t="s">
        <v>271</v>
      </c>
      <c r="H8" s="430" t="s">
        <v>272</v>
      </c>
    </row>
    <row r="9" spans="1:8" ht="12.75" customHeight="1">
      <c r="A9" s="478" t="str">
        <f>A21</f>
        <v>I. Építéselőkészítő és bontási munkák</v>
      </c>
      <c r="B9" s="479"/>
      <c r="C9" s="304"/>
      <c r="D9" s="304"/>
      <c r="E9" s="460" t="s">
        <v>273</v>
      </c>
      <c r="F9" s="460"/>
      <c r="G9" s="303">
        <f>SUM(G22:G26)</f>
        <v>0</v>
      </c>
      <c r="H9" s="303">
        <f>SUM(H22:H26)</f>
        <v>0</v>
      </c>
    </row>
    <row r="10" spans="1:8">
      <c r="A10" s="478" t="str">
        <f>A29</f>
        <v>II. Földmunka</v>
      </c>
      <c r="B10" s="479"/>
      <c r="C10" s="441"/>
      <c r="D10" s="442"/>
      <c r="E10" s="460" t="s">
        <v>273</v>
      </c>
      <c r="F10" s="460"/>
      <c r="G10" s="303">
        <f>SUM(G30:G38)</f>
        <v>0</v>
      </c>
      <c r="H10" s="303">
        <f>SUM(H30:H38)</f>
        <v>0</v>
      </c>
    </row>
    <row r="11" spans="1:8">
      <c r="A11" s="478" t="str">
        <f>A40</f>
        <v>III. Felépítmény</v>
      </c>
      <c r="B11" s="479"/>
      <c r="C11" s="441"/>
      <c r="D11" s="442"/>
      <c r="E11" s="460" t="s">
        <v>273</v>
      </c>
      <c r="F11" s="460"/>
      <c r="G11" s="303">
        <f>SUM(G41:G61)</f>
        <v>0</v>
      </c>
      <c r="H11" s="303">
        <f>SUM(H41:H61)</f>
        <v>0</v>
      </c>
    </row>
    <row r="12" spans="1:8">
      <c r="A12" s="478" t="str">
        <f>A63</f>
        <v>IV. Helyreállítási munkák</v>
      </c>
      <c r="B12" s="479"/>
      <c r="C12" s="304"/>
      <c r="D12" s="304"/>
      <c r="E12" s="460" t="s">
        <v>273</v>
      </c>
      <c r="F12" s="460"/>
      <c r="G12" s="303">
        <f>SUM(G64:G66)</f>
        <v>0</v>
      </c>
      <c r="H12" s="303">
        <f>SUM(H64:H66)</f>
        <v>0</v>
      </c>
    </row>
    <row r="13" spans="1:8" ht="15.75">
      <c r="A13" s="306"/>
      <c r="B13" s="307"/>
      <c r="C13" s="308"/>
      <c r="D13" s="309"/>
      <c r="E13" s="461" t="s">
        <v>274</v>
      </c>
      <c r="F13" s="462"/>
      <c r="G13" s="310">
        <f>SUM(G9:G12)</f>
        <v>0</v>
      </c>
      <c r="H13" s="310">
        <f>SUM(H9:H12)</f>
        <v>0</v>
      </c>
    </row>
    <row r="14" spans="1:8" ht="15.75">
      <c r="A14" s="292"/>
      <c r="B14" s="292"/>
      <c r="C14" s="295"/>
      <c r="D14" s="292"/>
      <c r="E14" s="292"/>
      <c r="F14" s="311" t="s">
        <v>275</v>
      </c>
      <c r="G14" s="311">
        <f>G13*0.27</f>
        <v>0</v>
      </c>
      <c r="H14" s="311">
        <f>H13*0.27</f>
        <v>0</v>
      </c>
    </row>
    <row r="15" spans="1:8" ht="15.75">
      <c r="A15" s="292"/>
      <c r="B15" s="292"/>
      <c r="C15" s="295"/>
      <c r="D15" s="463" t="s">
        <v>276</v>
      </c>
      <c r="E15" s="463"/>
      <c r="F15" s="463"/>
      <c r="G15" s="311">
        <f>SUM(G13:G14)</f>
        <v>0</v>
      </c>
      <c r="H15" s="311">
        <f>SUM(H13:H14)</f>
        <v>0</v>
      </c>
    </row>
    <row r="16" spans="1:8" ht="15.75">
      <c r="A16" s="292"/>
      <c r="B16" s="292"/>
      <c r="C16" s="295"/>
      <c r="D16" s="431"/>
      <c r="E16" s="431"/>
      <c r="F16" s="431"/>
      <c r="G16" s="311"/>
      <c r="H16" s="311"/>
    </row>
    <row r="17" spans="1:8" ht="15.75">
      <c r="A17" s="292"/>
      <c r="B17" s="292"/>
      <c r="C17" s="295"/>
      <c r="D17" s="431"/>
      <c r="E17" s="431"/>
      <c r="F17" s="431"/>
      <c r="G17" s="311"/>
      <c r="H17" s="311"/>
    </row>
    <row r="20" spans="1:8" ht="25.5">
      <c r="A20" s="443" t="s">
        <v>307</v>
      </c>
      <c r="B20" s="444" t="s">
        <v>308</v>
      </c>
      <c r="C20" s="445" t="s">
        <v>309</v>
      </c>
      <c r="D20" s="444" t="s">
        <v>310</v>
      </c>
      <c r="E20" s="446" t="s">
        <v>386</v>
      </c>
      <c r="F20" s="446" t="s">
        <v>389</v>
      </c>
      <c r="G20" s="444" t="s">
        <v>387</v>
      </c>
      <c r="H20" s="447" t="s">
        <v>388</v>
      </c>
    </row>
    <row r="21" spans="1:8">
      <c r="A21" s="370" t="s">
        <v>311</v>
      </c>
      <c r="E21" s="373" t="s">
        <v>312</v>
      </c>
      <c r="F21" s="373"/>
    </row>
    <row r="22" spans="1:8">
      <c r="A22" s="374">
        <v>1</v>
      </c>
      <c r="B22" s="371" t="s">
        <v>313</v>
      </c>
      <c r="C22" s="372">
        <f>C43</f>
        <v>218</v>
      </c>
      <c r="D22" s="369" t="s">
        <v>78</v>
      </c>
      <c r="E22" s="375">
        <v>0</v>
      </c>
      <c r="F22" s="375">
        <v>0</v>
      </c>
      <c r="G22" s="375">
        <f>C22*E22</f>
        <v>0</v>
      </c>
      <c r="H22" s="375">
        <f>C22*F22</f>
        <v>0</v>
      </c>
    </row>
    <row r="23" spans="1:8" ht="14.25">
      <c r="A23" s="374">
        <f>A22+1</f>
        <v>2</v>
      </c>
      <c r="B23" s="371" t="s">
        <v>314</v>
      </c>
      <c r="C23" s="376">
        <f>5*0.8*0.2</f>
        <v>0.8</v>
      </c>
      <c r="D23" s="369" t="s">
        <v>315</v>
      </c>
      <c r="E23" s="375">
        <v>0</v>
      </c>
      <c r="F23" s="375">
        <v>0</v>
      </c>
      <c r="G23" s="375">
        <f t="shared" ref="G23:G26" si="0">C23*E23</f>
        <v>0</v>
      </c>
      <c r="H23" s="375">
        <f t="shared" ref="H23:H26" si="1">C23*F23</f>
        <v>0</v>
      </c>
    </row>
    <row r="24" spans="1:8" ht="38.25">
      <c r="A24" s="374">
        <f>A23+1</f>
        <v>3</v>
      </c>
      <c r="B24" s="371" t="s">
        <v>316</v>
      </c>
      <c r="C24" s="377">
        <f>5*0.8</f>
        <v>4</v>
      </c>
      <c r="D24" s="369" t="s">
        <v>317</v>
      </c>
      <c r="E24" s="375">
        <v>0</v>
      </c>
      <c r="F24" s="375">
        <v>0</v>
      </c>
      <c r="G24" s="375">
        <f t="shared" si="0"/>
        <v>0</v>
      </c>
      <c r="H24" s="375">
        <f t="shared" si="1"/>
        <v>0</v>
      </c>
    </row>
    <row r="25" spans="1:8" ht="25.5">
      <c r="A25" s="374">
        <f t="shared" ref="A25:A26" si="2">A24+1</f>
        <v>4</v>
      </c>
      <c r="B25" s="371" t="s">
        <v>318</v>
      </c>
      <c r="C25" s="377">
        <v>1</v>
      </c>
      <c r="D25" s="369" t="s">
        <v>78</v>
      </c>
      <c r="E25" s="375">
        <v>0</v>
      </c>
      <c r="F25" s="375">
        <v>0</v>
      </c>
      <c r="G25" s="375">
        <f t="shared" si="0"/>
        <v>0</v>
      </c>
      <c r="H25" s="375">
        <f t="shared" si="1"/>
        <v>0</v>
      </c>
    </row>
    <row r="26" spans="1:8" ht="14.25">
      <c r="A26" s="374">
        <f t="shared" si="2"/>
        <v>5</v>
      </c>
      <c r="B26" s="371" t="s">
        <v>319</v>
      </c>
      <c r="C26" s="377">
        <f>C23*1.25</f>
        <v>1</v>
      </c>
      <c r="D26" s="369" t="s">
        <v>315</v>
      </c>
      <c r="E26" s="375">
        <v>0</v>
      </c>
      <c r="F26" s="375">
        <v>0</v>
      </c>
      <c r="G26" s="375">
        <f t="shared" si="0"/>
        <v>0</v>
      </c>
      <c r="H26" s="375">
        <f t="shared" si="1"/>
        <v>0</v>
      </c>
    </row>
    <row r="27" spans="1:8" ht="15" customHeight="1">
      <c r="B27" s="378" t="s">
        <v>320</v>
      </c>
      <c r="C27" s="377"/>
    </row>
    <row r="29" spans="1:8">
      <c r="A29" s="379" t="s">
        <v>321</v>
      </c>
    </row>
    <row r="30" spans="1:8" ht="63.75">
      <c r="A30" s="374">
        <v>1</v>
      </c>
      <c r="B30" s="380" t="s">
        <v>322</v>
      </c>
      <c r="C30" s="377">
        <f>C43*0.5*1.2</f>
        <v>130.79999999999998</v>
      </c>
      <c r="D30" s="369" t="s">
        <v>315</v>
      </c>
      <c r="E30" s="375">
        <v>0</v>
      </c>
      <c r="F30" s="375">
        <v>0</v>
      </c>
      <c r="G30" s="375">
        <f t="shared" ref="G30" si="3">C30*E30</f>
        <v>0</v>
      </c>
      <c r="H30" s="375">
        <f t="shared" ref="H30" si="4">C30*F30</f>
        <v>0</v>
      </c>
    </row>
    <row r="31" spans="1:8" ht="38.25">
      <c r="A31" s="374">
        <f t="shared" ref="A31:A38" si="5">A30+1</f>
        <v>2</v>
      </c>
      <c r="B31" s="371" t="s">
        <v>323</v>
      </c>
      <c r="C31" s="377">
        <f>(C43)*0.5*0.5-(C42)*0.03*0.03*3.14/4</f>
        <v>54.498587000000001</v>
      </c>
      <c r="D31" s="369" t="s">
        <v>315</v>
      </c>
      <c r="E31" s="375">
        <v>0</v>
      </c>
      <c r="F31" s="375">
        <v>0</v>
      </c>
      <c r="G31" s="375">
        <f t="shared" ref="G31:G38" si="6">C31*E31</f>
        <v>0</v>
      </c>
      <c r="H31" s="375">
        <f t="shared" ref="H31:H38" si="7">C31*F31</f>
        <v>0</v>
      </c>
    </row>
    <row r="32" spans="1:8" ht="25.5">
      <c r="A32" s="374">
        <f t="shared" si="5"/>
        <v>3</v>
      </c>
      <c r="B32" s="371" t="s">
        <v>324</v>
      </c>
      <c r="C32" s="377">
        <f>(C43)*0.5*0.2</f>
        <v>21.8</v>
      </c>
      <c r="D32" s="369" t="s">
        <v>315</v>
      </c>
      <c r="E32" s="375">
        <v>0</v>
      </c>
      <c r="F32" s="375">
        <v>0</v>
      </c>
      <c r="G32" s="375">
        <f t="shared" si="6"/>
        <v>0</v>
      </c>
      <c r="H32" s="375">
        <f t="shared" si="7"/>
        <v>0</v>
      </c>
    </row>
    <row r="33" spans="1:8" ht="25.5">
      <c r="A33" s="374">
        <f t="shared" si="5"/>
        <v>4</v>
      </c>
      <c r="B33" s="371" t="s">
        <v>325</v>
      </c>
      <c r="C33" s="377">
        <f>C30-C37-C32</f>
        <v>54.499999999999986</v>
      </c>
      <c r="D33" s="369" t="s">
        <v>315</v>
      </c>
      <c r="E33" s="375">
        <v>0</v>
      </c>
      <c r="F33" s="375">
        <v>0</v>
      </c>
      <c r="G33" s="375">
        <f t="shared" si="6"/>
        <v>0</v>
      </c>
      <c r="H33" s="375">
        <f t="shared" si="7"/>
        <v>0</v>
      </c>
    </row>
    <row r="34" spans="1:8" ht="38.25">
      <c r="A34" s="374">
        <f t="shared" si="5"/>
        <v>5</v>
      </c>
      <c r="B34" s="371" t="s">
        <v>326</v>
      </c>
      <c r="C34" s="377">
        <f>C31</f>
        <v>54.498587000000001</v>
      </c>
      <c r="D34" s="369" t="s">
        <v>315</v>
      </c>
      <c r="E34" s="375">
        <v>0</v>
      </c>
      <c r="F34" s="375">
        <v>0</v>
      </c>
      <c r="G34" s="375">
        <f t="shared" si="6"/>
        <v>0</v>
      </c>
      <c r="H34" s="375">
        <f t="shared" si="7"/>
        <v>0</v>
      </c>
    </row>
    <row r="35" spans="1:8" ht="38.25">
      <c r="A35" s="374">
        <f t="shared" si="5"/>
        <v>6</v>
      </c>
      <c r="B35" s="371" t="s">
        <v>327</v>
      </c>
      <c r="C35" s="377">
        <f>C32+C33-C36</f>
        <v>21.799999999999983</v>
      </c>
      <c r="D35" s="369" t="s">
        <v>315</v>
      </c>
      <c r="E35" s="375">
        <v>0</v>
      </c>
      <c r="F35" s="375">
        <v>0</v>
      </c>
      <c r="G35" s="375">
        <f t="shared" si="6"/>
        <v>0</v>
      </c>
      <c r="H35" s="375">
        <f t="shared" si="7"/>
        <v>0</v>
      </c>
    </row>
    <row r="36" spans="1:8" ht="38.25">
      <c r="A36" s="374">
        <f t="shared" si="5"/>
        <v>7</v>
      </c>
      <c r="B36" s="371" t="s">
        <v>328</v>
      </c>
      <c r="C36" s="377">
        <f>(C43)*0.5*0.5</f>
        <v>54.5</v>
      </c>
      <c r="D36" s="369" t="s">
        <v>315</v>
      </c>
      <c r="E36" s="375">
        <v>0</v>
      </c>
      <c r="F36" s="375">
        <v>0</v>
      </c>
      <c r="G36" s="375">
        <f t="shared" si="6"/>
        <v>0</v>
      </c>
      <c r="H36" s="375">
        <f t="shared" si="7"/>
        <v>0</v>
      </c>
    </row>
    <row r="37" spans="1:8" ht="25.5">
      <c r="A37" s="374">
        <f t="shared" si="5"/>
        <v>8</v>
      </c>
      <c r="B37" s="371" t="s">
        <v>329</v>
      </c>
      <c r="C37" s="377">
        <f>(C43)*0.5*0.5</f>
        <v>54.5</v>
      </c>
      <c r="D37" s="369" t="s">
        <v>315</v>
      </c>
      <c r="E37" s="375">
        <v>0</v>
      </c>
      <c r="F37" s="375">
        <v>0</v>
      </c>
      <c r="G37" s="375">
        <f t="shared" si="6"/>
        <v>0</v>
      </c>
      <c r="H37" s="375">
        <f t="shared" si="7"/>
        <v>0</v>
      </c>
    </row>
    <row r="38" spans="1:8" ht="14.25">
      <c r="A38" s="374">
        <f t="shared" si="5"/>
        <v>9</v>
      </c>
      <c r="B38" s="380" t="s">
        <v>262</v>
      </c>
      <c r="C38" s="377">
        <f>2*C30/0.5</f>
        <v>523.19999999999993</v>
      </c>
      <c r="D38" s="369" t="s">
        <v>317</v>
      </c>
      <c r="E38" s="375">
        <v>0</v>
      </c>
      <c r="F38" s="375">
        <v>0</v>
      </c>
      <c r="G38" s="375">
        <f t="shared" si="6"/>
        <v>0</v>
      </c>
      <c r="H38" s="375">
        <f t="shared" si="7"/>
        <v>0</v>
      </c>
    </row>
    <row r="40" spans="1:8">
      <c r="A40" s="379" t="s">
        <v>330</v>
      </c>
    </row>
    <row r="41" spans="1:8" ht="25.5">
      <c r="A41" s="374">
        <v>1</v>
      </c>
      <c r="B41" s="380" t="s">
        <v>331</v>
      </c>
      <c r="C41" s="372">
        <f>206+20-10</f>
        <v>216</v>
      </c>
      <c r="D41" s="369" t="s">
        <v>78</v>
      </c>
      <c r="E41" s="375">
        <v>0</v>
      </c>
      <c r="F41" s="375">
        <v>0</v>
      </c>
      <c r="G41" s="375">
        <f t="shared" ref="G41" si="8">C41*E41</f>
        <v>0</v>
      </c>
      <c r="H41" s="375">
        <f t="shared" ref="H41" si="9">C41*F41</f>
        <v>0</v>
      </c>
    </row>
    <row r="42" spans="1:8" ht="25.5">
      <c r="A42" s="374">
        <f t="shared" ref="A42:A61" si="10">A41+1</f>
        <v>2</v>
      </c>
      <c r="B42" s="380" t="s">
        <v>332</v>
      </c>
      <c r="C42" s="372">
        <v>2</v>
      </c>
      <c r="D42" s="369" t="s">
        <v>78</v>
      </c>
      <c r="E42" s="375">
        <v>0</v>
      </c>
      <c r="F42" s="375">
        <v>0</v>
      </c>
      <c r="G42" s="375">
        <f t="shared" ref="G42:G61" si="11">C42*E42</f>
        <v>0</v>
      </c>
      <c r="H42" s="375">
        <f t="shared" ref="H42:H61" si="12">C42*F42</f>
        <v>0</v>
      </c>
    </row>
    <row r="43" spans="1:8" ht="25.5">
      <c r="A43" s="374">
        <f t="shared" si="10"/>
        <v>3</v>
      </c>
      <c r="B43" s="380" t="s">
        <v>333</v>
      </c>
      <c r="C43" s="372">
        <f>SUM(C41:C42)</f>
        <v>218</v>
      </c>
      <c r="D43" s="369" t="s">
        <v>78</v>
      </c>
      <c r="E43" s="375">
        <v>0</v>
      </c>
      <c r="F43" s="375">
        <v>0</v>
      </c>
      <c r="G43" s="375">
        <f t="shared" si="11"/>
        <v>0</v>
      </c>
      <c r="H43" s="375">
        <f t="shared" si="12"/>
        <v>0</v>
      </c>
    </row>
    <row r="44" spans="1:8" ht="38.25">
      <c r="A44" s="374">
        <f t="shared" si="10"/>
        <v>4</v>
      </c>
      <c r="B44" s="380" t="s">
        <v>334</v>
      </c>
      <c r="C44" s="381">
        <f>1*1.4*1.6-1.4*1.2*0.8</f>
        <v>0.89599999999999969</v>
      </c>
      <c r="D44" s="369" t="s">
        <v>315</v>
      </c>
      <c r="E44" s="375">
        <v>0</v>
      </c>
      <c r="F44" s="375">
        <v>0</v>
      </c>
      <c r="G44" s="375">
        <f t="shared" si="11"/>
        <v>0</v>
      </c>
      <c r="H44" s="375">
        <f t="shared" si="12"/>
        <v>0</v>
      </c>
    </row>
    <row r="45" spans="1:8">
      <c r="A45" s="374">
        <f t="shared" si="10"/>
        <v>5</v>
      </c>
      <c r="B45" s="380" t="s">
        <v>335</v>
      </c>
      <c r="C45" s="382">
        <f>(1.4*1.6*4+1*1.6*4+1*1.4*4)*(20*0.888)/1000</f>
        <v>0.37224960000000007</v>
      </c>
      <c r="D45" s="372" t="s">
        <v>336</v>
      </c>
      <c r="E45" s="375">
        <v>0</v>
      </c>
      <c r="F45" s="375">
        <v>0</v>
      </c>
      <c r="G45" s="375">
        <f t="shared" si="11"/>
        <v>0</v>
      </c>
      <c r="H45" s="375">
        <f t="shared" si="12"/>
        <v>0</v>
      </c>
    </row>
    <row r="46" spans="1:8" ht="14.25">
      <c r="A46" s="374">
        <f t="shared" si="10"/>
        <v>6</v>
      </c>
      <c r="B46" s="380" t="s">
        <v>337</v>
      </c>
      <c r="C46" s="383">
        <f>(1.4*1.6*4+1*1.6*4+0.8*1.2)</f>
        <v>16.32</v>
      </c>
      <c r="D46" s="369" t="s">
        <v>317</v>
      </c>
      <c r="E46" s="375">
        <v>0</v>
      </c>
      <c r="F46" s="375">
        <v>0</v>
      </c>
      <c r="G46" s="375">
        <f t="shared" si="11"/>
        <v>0</v>
      </c>
      <c r="H46" s="375">
        <f t="shared" si="12"/>
        <v>0</v>
      </c>
    </row>
    <row r="47" spans="1:8">
      <c r="A47" s="374">
        <f t="shared" si="10"/>
        <v>7</v>
      </c>
      <c r="B47" s="380" t="s">
        <v>338</v>
      </c>
      <c r="C47" s="380">
        <v>1</v>
      </c>
      <c r="D47" s="380" t="s">
        <v>19</v>
      </c>
      <c r="E47" s="375">
        <v>0</v>
      </c>
      <c r="F47" s="375">
        <v>0</v>
      </c>
      <c r="G47" s="375">
        <f t="shared" si="11"/>
        <v>0</v>
      </c>
      <c r="H47" s="375">
        <f t="shared" si="12"/>
        <v>0</v>
      </c>
    </row>
    <row r="48" spans="1:8" ht="25.5">
      <c r="A48" s="374">
        <f t="shared" si="10"/>
        <v>8</v>
      </c>
      <c r="B48" s="380" t="s">
        <v>339</v>
      </c>
      <c r="C48" s="380">
        <v>5</v>
      </c>
      <c r="D48" s="380" t="s">
        <v>19</v>
      </c>
      <c r="E48" s="375">
        <v>0</v>
      </c>
      <c r="F48" s="375">
        <v>0</v>
      </c>
      <c r="G48" s="375">
        <f t="shared" si="11"/>
        <v>0</v>
      </c>
      <c r="H48" s="375">
        <f t="shared" si="12"/>
        <v>0</v>
      </c>
    </row>
    <row r="49" spans="1:8" s="371" customFormat="1" ht="25.5">
      <c r="A49" s="374">
        <f t="shared" si="10"/>
        <v>9</v>
      </c>
      <c r="B49" s="380" t="s">
        <v>340</v>
      </c>
      <c r="C49" s="380">
        <v>1</v>
      </c>
      <c r="D49" s="380" t="s">
        <v>19</v>
      </c>
      <c r="E49" s="375">
        <v>0</v>
      </c>
      <c r="F49" s="375">
        <v>0</v>
      </c>
      <c r="G49" s="375">
        <f t="shared" si="11"/>
        <v>0</v>
      </c>
      <c r="H49" s="375">
        <f t="shared" si="12"/>
        <v>0</v>
      </c>
    </row>
    <row r="50" spans="1:8" s="371" customFormat="1" ht="38.25">
      <c r="A50" s="374">
        <f t="shared" si="10"/>
        <v>10</v>
      </c>
      <c r="B50" s="380" t="s">
        <v>341</v>
      </c>
      <c r="C50" s="380">
        <v>1</v>
      </c>
      <c r="D50" s="380" t="s">
        <v>19</v>
      </c>
      <c r="E50" s="375">
        <v>0</v>
      </c>
      <c r="F50" s="375">
        <v>0</v>
      </c>
      <c r="G50" s="375">
        <f t="shared" si="11"/>
        <v>0</v>
      </c>
      <c r="H50" s="375">
        <f t="shared" si="12"/>
        <v>0</v>
      </c>
    </row>
    <row r="51" spans="1:8" s="371" customFormat="1" ht="25.5">
      <c r="A51" s="374">
        <f t="shared" si="10"/>
        <v>11</v>
      </c>
      <c r="B51" s="380" t="s">
        <v>342</v>
      </c>
      <c r="C51" s="380">
        <v>1</v>
      </c>
      <c r="D51" s="380" t="s">
        <v>19</v>
      </c>
      <c r="E51" s="375">
        <v>0</v>
      </c>
      <c r="F51" s="375">
        <v>0</v>
      </c>
      <c r="G51" s="375">
        <f t="shared" si="11"/>
        <v>0</v>
      </c>
      <c r="H51" s="375">
        <f t="shared" si="12"/>
        <v>0</v>
      </c>
    </row>
    <row r="52" spans="1:8" s="371" customFormat="1" ht="25.5">
      <c r="A52" s="374">
        <f t="shared" si="10"/>
        <v>12</v>
      </c>
      <c r="B52" s="380" t="s">
        <v>343</v>
      </c>
      <c r="C52" s="380">
        <v>2</v>
      </c>
      <c r="D52" s="380" t="s">
        <v>19</v>
      </c>
      <c r="E52" s="375">
        <v>0</v>
      </c>
      <c r="F52" s="375">
        <v>0</v>
      </c>
      <c r="G52" s="375">
        <f t="shared" si="11"/>
        <v>0</v>
      </c>
      <c r="H52" s="375">
        <f t="shared" si="12"/>
        <v>0</v>
      </c>
    </row>
    <row r="53" spans="1:8" ht="38.25">
      <c r="A53" s="374">
        <f t="shared" si="10"/>
        <v>13</v>
      </c>
      <c r="B53" s="380" t="s">
        <v>344</v>
      </c>
      <c r="C53" s="380">
        <v>2</v>
      </c>
      <c r="D53" s="369" t="s">
        <v>19</v>
      </c>
      <c r="E53" s="375">
        <v>0</v>
      </c>
      <c r="F53" s="375">
        <v>0</v>
      </c>
      <c r="G53" s="375">
        <f t="shared" si="11"/>
        <v>0</v>
      </c>
      <c r="H53" s="375">
        <f t="shared" si="12"/>
        <v>0</v>
      </c>
    </row>
    <row r="54" spans="1:8">
      <c r="A54" s="374">
        <f t="shared" si="10"/>
        <v>14</v>
      </c>
      <c r="B54" s="380" t="s">
        <v>345</v>
      </c>
      <c r="C54" s="380">
        <v>1</v>
      </c>
      <c r="D54" s="369" t="s">
        <v>19</v>
      </c>
      <c r="E54" s="375">
        <v>0</v>
      </c>
      <c r="F54" s="375">
        <v>0</v>
      </c>
      <c r="G54" s="375">
        <f t="shared" si="11"/>
        <v>0</v>
      </c>
      <c r="H54" s="375">
        <f t="shared" si="12"/>
        <v>0</v>
      </c>
    </row>
    <row r="55" spans="1:8">
      <c r="A55" s="374">
        <f t="shared" si="10"/>
        <v>15</v>
      </c>
      <c r="B55" s="380" t="s">
        <v>346</v>
      </c>
      <c r="C55" s="380">
        <v>1</v>
      </c>
      <c r="D55" s="369" t="s">
        <v>19</v>
      </c>
      <c r="E55" s="375">
        <v>0</v>
      </c>
      <c r="F55" s="375">
        <v>0</v>
      </c>
      <c r="G55" s="375">
        <f t="shared" si="11"/>
        <v>0</v>
      </c>
      <c r="H55" s="375">
        <f t="shared" si="12"/>
        <v>0</v>
      </c>
    </row>
    <row r="56" spans="1:8">
      <c r="A56" s="374">
        <f t="shared" si="10"/>
        <v>16</v>
      </c>
      <c r="B56" s="371" t="s">
        <v>347</v>
      </c>
      <c r="C56" s="372">
        <f>C43</f>
        <v>218</v>
      </c>
      <c r="D56" s="372" t="s">
        <v>78</v>
      </c>
      <c r="E56" s="375">
        <v>0</v>
      </c>
      <c r="F56" s="375">
        <v>0</v>
      </c>
      <c r="G56" s="375">
        <f t="shared" si="11"/>
        <v>0</v>
      </c>
      <c r="H56" s="375">
        <f t="shared" si="12"/>
        <v>0</v>
      </c>
    </row>
    <row r="57" spans="1:8" s="371" customFormat="1" ht="38.25">
      <c r="A57" s="374">
        <f t="shared" si="10"/>
        <v>17</v>
      </c>
      <c r="B57" s="380" t="s">
        <v>348</v>
      </c>
      <c r="C57" s="369">
        <v>2</v>
      </c>
      <c r="D57" s="369" t="s">
        <v>78</v>
      </c>
      <c r="E57" s="375">
        <v>0</v>
      </c>
      <c r="F57" s="375">
        <v>0</v>
      </c>
      <c r="G57" s="375">
        <f t="shared" si="11"/>
        <v>0</v>
      </c>
      <c r="H57" s="375">
        <f t="shared" si="12"/>
        <v>0</v>
      </c>
    </row>
    <row r="58" spans="1:8" s="371" customFormat="1" ht="25.5">
      <c r="A58" s="374">
        <f t="shared" si="10"/>
        <v>18</v>
      </c>
      <c r="B58" s="380" t="s">
        <v>349</v>
      </c>
      <c r="C58" s="369">
        <f>C57</f>
        <v>2</v>
      </c>
      <c r="D58" s="369" t="s">
        <v>78</v>
      </c>
      <c r="E58" s="375">
        <v>0</v>
      </c>
      <c r="F58" s="375">
        <v>0</v>
      </c>
      <c r="G58" s="375">
        <f t="shared" si="11"/>
        <v>0</v>
      </c>
      <c r="H58" s="375">
        <f t="shared" si="12"/>
        <v>0</v>
      </c>
    </row>
    <row r="59" spans="1:8" s="371" customFormat="1" ht="25.5">
      <c r="A59" s="374">
        <f t="shared" si="10"/>
        <v>19</v>
      </c>
      <c r="B59" s="380" t="s">
        <v>350</v>
      </c>
      <c r="C59" s="369">
        <v>2</v>
      </c>
      <c r="D59" s="369" t="s">
        <v>19</v>
      </c>
      <c r="E59" s="375">
        <v>0</v>
      </c>
      <c r="F59" s="375">
        <v>0</v>
      </c>
      <c r="G59" s="375">
        <f t="shared" si="11"/>
        <v>0</v>
      </c>
      <c r="H59" s="375">
        <f t="shared" si="12"/>
        <v>0</v>
      </c>
    </row>
    <row r="60" spans="1:8" s="371" customFormat="1" ht="25.5">
      <c r="A60" s="374">
        <f t="shared" si="10"/>
        <v>20</v>
      </c>
      <c r="B60" s="380" t="s">
        <v>351</v>
      </c>
      <c r="C60" s="376">
        <f>0.6*3.14*0.9+0.6*0.6*3.14/4</f>
        <v>1.9782</v>
      </c>
      <c r="D60" s="369" t="s">
        <v>317</v>
      </c>
      <c r="E60" s="375">
        <v>0</v>
      </c>
      <c r="F60" s="375">
        <v>0</v>
      </c>
      <c r="G60" s="375">
        <f t="shared" si="11"/>
        <v>0</v>
      </c>
      <c r="H60" s="375">
        <f t="shared" si="12"/>
        <v>0</v>
      </c>
    </row>
    <row r="61" spans="1:8" ht="14.25">
      <c r="A61" s="374">
        <f t="shared" si="10"/>
        <v>21</v>
      </c>
      <c r="B61" s="380" t="s">
        <v>352</v>
      </c>
      <c r="C61" s="384">
        <f>1.1*1*1*3.14/4-0.9*0.6*0.6*3.14/4</f>
        <v>0.60916000000000015</v>
      </c>
      <c r="D61" s="369" t="s">
        <v>315</v>
      </c>
      <c r="E61" s="375">
        <v>0</v>
      </c>
      <c r="F61" s="375">
        <v>0</v>
      </c>
      <c r="G61" s="375">
        <f t="shared" si="11"/>
        <v>0</v>
      </c>
      <c r="H61" s="375">
        <f t="shared" si="12"/>
        <v>0</v>
      </c>
    </row>
    <row r="62" spans="1:8">
      <c r="B62" s="385"/>
    </row>
    <row r="63" spans="1:8">
      <c r="A63" s="379" t="s">
        <v>353</v>
      </c>
    </row>
    <row r="64" spans="1:8" ht="25.5">
      <c r="A64" s="374">
        <v>1</v>
      </c>
      <c r="B64" s="371" t="s">
        <v>354</v>
      </c>
      <c r="C64" s="376">
        <f>C23</f>
        <v>0.8</v>
      </c>
      <c r="D64" s="369" t="s">
        <v>315</v>
      </c>
      <c r="E64" s="375">
        <v>0</v>
      </c>
      <c r="F64" s="375">
        <v>0</v>
      </c>
      <c r="G64" s="375">
        <f t="shared" ref="G64" si="13">C64*E64</f>
        <v>0</v>
      </c>
      <c r="H64" s="375">
        <f t="shared" ref="H64" si="14">C64*F64</f>
        <v>0</v>
      </c>
    </row>
    <row r="65" spans="1:8" ht="51">
      <c r="A65" s="374">
        <f>A64+1</f>
        <v>2</v>
      </c>
      <c r="B65" s="371" t="s">
        <v>355</v>
      </c>
      <c r="C65" s="377">
        <f>C24</f>
        <v>4</v>
      </c>
      <c r="D65" s="369" t="s">
        <v>317</v>
      </c>
      <c r="E65" s="375">
        <v>0</v>
      </c>
      <c r="F65" s="375">
        <v>0</v>
      </c>
      <c r="G65" s="375">
        <f t="shared" ref="G65:G66" si="15">C65*E65</f>
        <v>0</v>
      </c>
      <c r="H65" s="375">
        <f t="shared" ref="H65:H66" si="16">C65*F65</f>
        <v>0</v>
      </c>
    </row>
    <row r="66" spans="1:8" ht="25.5">
      <c r="A66" s="374">
        <f>A65+1</f>
        <v>3</v>
      </c>
      <c r="B66" s="385" t="s">
        <v>356</v>
      </c>
      <c r="C66" s="377">
        <f>C25</f>
        <v>1</v>
      </c>
      <c r="D66" s="369" t="s">
        <v>78</v>
      </c>
      <c r="E66" s="375">
        <v>0</v>
      </c>
      <c r="F66" s="375">
        <v>0</v>
      </c>
      <c r="G66" s="375">
        <f t="shared" si="15"/>
        <v>0</v>
      </c>
      <c r="H66" s="375">
        <f t="shared" si="16"/>
        <v>0</v>
      </c>
    </row>
    <row r="67" spans="1:8">
      <c r="B67" s="380"/>
    </row>
    <row r="68" spans="1:8">
      <c r="A68" s="379"/>
      <c r="B68" s="378" t="s">
        <v>320</v>
      </c>
    </row>
    <row r="69" spans="1:8">
      <c r="C69" s="377"/>
    </row>
    <row r="70" spans="1:8">
      <c r="E70" s="386" t="s">
        <v>357</v>
      </c>
      <c r="F70" s="386"/>
      <c r="G70" s="387">
        <f>SUM(G22:G69)</f>
        <v>0</v>
      </c>
      <c r="H70" s="387">
        <f>SUM(H22:H69)</f>
        <v>0</v>
      </c>
    </row>
  </sheetData>
  <sheetProtection password="C70B" sheet="1" objects="1" scenarios="1"/>
  <protectedRanges>
    <protectedRange password="C70B" sqref="E22:F26 E30:F38 E41:F61 E64:F66" name="Tartomány1" securityDescriptor="O:WDG:WDD:(A;;CC;;;WD)"/>
  </protectedRanges>
  <mergeCells count="14">
    <mergeCell ref="D15:F15"/>
    <mergeCell ref="A9:B9"/>
    <mergeCell ref="A10:B10"/>
    <mergeCell ref="E9:F9"/>
    <mergeCell ref="A11:B11"/>
    <mergeCell ref="A12:B12"/>
    <mergeCell ref="E11:F11"/>
    <mergeCell ref="E12:F12"/>
    <mergeCell ref="E13:F13"/>
    <mergeCell ref="B1:G1"/>
    <mergeCell ref="B2:G2"/>
    <mergeCell ref="B3:G4"/>
    <mergeCell ref="B5:G5"/>
    <mergeCell ref="E10:F10"/>
  </mergeCells>
  <printOptions gridLines="1"/>
  <pageMargins left="0.70866141732283472" right="0.70866141732283472" top="1.0236220472440944" bottom="0.74803149606299213" header="0.31496062992125984" footer="0.31496062992125984"/>
  <pageSetup paperSize="9" scale="94" orientation="portrait" r:id="rId1"/>
  <headerFooter>
    <oddHeader>&amp;CKÖLTSÉGVETÉS KIÍRÁSBudapest, XVIII. ker. 152646/6. helyrajzi számon található ingatlan fejlesztése 1. ütem(hrsz.: 152646/6)VÍZELLÁTÁS KIVITELI TERVE&amp;RTsz.: T41-16P</oddHeader>
    <oddFooter>&amp;C&amp;P. oldal, összesen: &amp;N&amp;R2017. május hó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view="pageBreakPreview" topLeftCell="A41" zoomScaleSheetLayoutView="100" workbookViewId="0">
      <selection activeCell="G62" sqref="G62"/>
    </sheetView>
  </sheetViews>
  <sheetFormatPr defaultRowHeight="12.75"/>
  <cols>
    <col min="1" max="1" width="6.7109375" style="306" customWidth="1"/>
    <col min="2" max="2" width="30" style="312" customWidth="1"/>
    <col min="3" max="3" width="9.28515625" style="364" bestFit="1" customWidth="1"/>
    <col min="4" max="4" width="5.42578125" style="343" customWidth="1"/>
    <col min="5" max="5" width="7.85546875" style="362" customWidth="1"/>
    <col min="6" max="6" width="8.85546875" style="363" customWidth="1"/>
    <col min="7" max="7" width="12.85546875" style="343" customWidth="1"/>
    <col min="8" max="8" width="13.28515625" style="343" customWidth="1"/>
    <col min="9" max="9" width="6.28515625" style="288" bestFit="1" customWidth="1"/>
    <col min="10" max="256" width="9.140625" style="288"/>
    <col min="257" max="257" width="6.7109375" style="288" customWidth="1"/>
    <col min="258" max="258" width="30" style="288" customWidth="1"/>
    <col min="259" max="259" width="9.28515625" style="288" bestFit="1" customWidth="1"/>
    <col min="260" max="260" width="5.42578125" style="288" customWidth="1"/>
    <col min="261" max="261" width="7.85546875" style="288" customWidth="1"/>
    <col min="262" max="262" width="8.85546875" style="288" customWidth="1"/>
    <col min="263" max="263" width="12.85546875" style="288" customWidth="1"/>
    <col min="264" max="264" width="13.28515625" style="288" customWidth="1"/>
    <col min="265" max="265" width="6.28515625" style="288" bestFit="1" customWidth="1"/>
    <col min="266" max="512" width="9.140625" style="288"/>
    <col min="513" max="513" width="6.7109375" style="288" customWidth="1"/>
    <col min="514" max="514" width="30" style="288" customWidth="1"/>
    <col min="515" max="515" width="9.28515625" style="288" bestFit="1" customWidth="1"/>
    <col min="516" max="516" width="5.42578125" style="288" customWidth="1"/>
    <col min="517" max="517" width="7.85546875" style="288" customWidth="1"/>
    <col min="518" max="518" width="8.85546875" style="288" customWidth="1"/>
    <col min="519" max="519" width="12.85546875" style="288" customWidth="1"/>
    <col min="520" max="520" width="13.28515625" style="288" customWidth="1"/>
    <col min="521" max="521" width="6.28515625" style="288" bestFit="1" customWidth="1"/>
    <col min="522" max="768" width="9.140625" style="288"/>
    <col min="769" max="769" width="6.7109375" style="288" customWidth="1"/>
    <col min="770" max="770" width="30" style="288" customWidth="1"/>
    <col min="771" max="771" width="9.28515625" style="288" bestFit="1" customWidth="1"/>
    <col min="772" max="772" width="5.42578125" style="288" customWidth="1"/>
    <col min="773" max="773" width="7.85546875" style="288" customWidth="1"/>
    <col min="774" max="774" width="8.85546875" style="288" customWidth="1"/>
    <col min="775" max="775" width="12.85546875" style="288" customWidth="1"/>
    <col min="776" max="776" width="13.28515625" style="288" customWidth="1"/>
    <col min="777" max="777" width="6.28515625" style="288" bestFit="1" customWidth="1"/>
    <col min="778" max="1024" width="9.140625" style="288"/>
    <col min="1025" max="1025" width="6.7109375" style="288" customWidth="1"/>
    <col min="1026" max="1026" width="30" style="288" customWidth="1"/>
    <col min="1027" max="1027" width="9.28515625" style="288" bestFit="1" customWidth="1"/>
    <col min="1028" max="1028" width="5.42578125" style="288" customWidth="1"/>
    <col min="1029" max="1029" width="7.85546875" style="288" customWidth="1"/>
    <col min="1030" max="1030" width="8.85546875" style="288" customWidth="1"/>
    <col min="1031" max="1031" width="12.85546875" style="288" customWidth="1"/>
    <col min="1032" max="1032" width="13.28515625" style="288" customWidth="1"/>
    <col min="1033" max="1033" width="6.28515625" style="288" bestFit="1" customWidth="1"/>
    <col min="1034" max="1280" width="9.140625" style="288"/>
    <col min="1281" max="1281" width="6.7109375" style="288" customWidth="1"/>
    <col min="1282" max="1282" width="30" style="288" customWidth="1"/>
    <col min="1283" max="1283" width="9.28515625" style="288" bestFit="1" customWidth="1"/>
    <col min="1284" max="1284" width="5.42578125" style="288" customWidth="1"/>
    <col min="1285" max="1285" width="7.85546875" style="288" customWidth="1"/>
    <col min="1286" max="1286" width="8.85546875" style="288" customWidth="1"/>
    <col min="1287" max="1287" width="12.85546875" style="288" customWidth="1"/>
    <col min="1288" max="1288" width="13.28515625" style="288" customWidth="1"/>
    <col min="1289" max="1289" width="6.28515625" style="288" bestFit="1" customWidth="1"/>
    <col min="1290" max="1536" width="9.140625" style="288"/>
    <col min="1537" max="1537" width="6.7109375" style="288" customWidth="1"/>
    <col min="1538" max="1538" width="30" style="288" customWidth="1"/>
    <col min="1539" max="1539" width="9.28515625" style="288" bestFit="1" customWidth="1"/>
    <col min="1540" max="1540" width="5.42578125" style="288" customWidth="1"/>
    <col min="1541" max="1541" width="7.85546875" style="288" customWidth="1"/>
    <col min="1542" max="1542" width="8.85546875" style="288" customWidth="1"/>
    <col min="1543" max="1543" width="12.85546875" style="288" customWidth="1"/>
    <col min="1544" max="1544" width="13.28515625" style="288" customWidth="1"/>
    <col min="1545" max="1545" width="6.28515625" style="288" bestFit="1" customWidth="1"/>
    <col min="1546" max="1792" width="9.140625" style="288"/>
    <col min="1793" max="1793" width="6.7109375" style="288" customWidth="1"/>
    <col min="1794" max="1794" width="30" style="288" customWidth="1"/>
    <col min="1795" max="1795" width="9.28515625" style="288" bestFit="1" customWidth="1"/>
    <col min="1796" max="1796" width="5.42578125" style="288" customWidth="1"/>
    <col min="1797" max="1797" width="7.85546875" style="288" customWidth="1"/>
    <col min="1798" max="1798" width="8.85546875" style="288" customWidth="1"/>
    <col min="1799" max="1799" width="12.85546875" style="288" customWidth="1"/>
    <col min="1800" max="1800" width="13.28515625" style="288" customWidth="1"/>
    <col min="1801" max="1801" width="6.28515625" style="288" bestFit="1" customWidth="1"/>
    <col min="1802" max="2048" width="9.140625" style="288"/>
    <col min="2049" max="2049" width="6.7109375" style="288" customWidth="1"/>
    <col min="2050" max="2050" width="30" style="288" customWidth="1"/>
    <col min="2051" max="2051" width="9.28515625" style="288" bestFit="1" customWidth="1"/>
    <col min="2052" max="2052" width="5.42578125" style="288" customWidth="1"/>
    <col min="2053" max="2053" width="7.85546875" style="288" customWidth="1"/>
    <col min="2054" max="2054" width="8.85546875" style="288" customWidth="1"/>
    <col min="2055" max="2055" width="12.85546875" style="288" customWidth="1"/>
    <col min="2056" max="2056" width="13.28515625" style="288" customWidth="1"/>
    <col min="2057" max="2057" width="6.28515625" style="288" bestFit="1" customWidth="1"/>
    <col min="2058" max="2304" width="9.140625" style="288"/>
    <col min="2305" max="2305" width="6.7109375" style="288" customWidth="1"/>
    <col min="2306" max="2306" width="30" style="288" customWidth="1"/>
    <col min="2307" max="2307" width="9.28515625" style="288" bestFit="1" customWidth="1"/>
    <col min="2308" max="2308" width="5.42578125" style="288" customWidth="1"/>
    <col min="2309" max="2309" width="7.85546875" style="288" customWidth="1"/>
    <col min="2310" max="2310" width="8.85546875" style="288" customWidth="1"/>
    <col min="2311" max="2311" width="12.85546875" style="288" customWidth="1"/>
    <col min="2312" max="2312" width="13.28515625" style="288" customWidth="1"/>
    <col min="2313" max="2313" width="6.28515625" style="288" bestFit="1" customWidth="1"/>
    <col min="2314" max="2560" width="9.140625" style="288"/>
    <col min="2561" max="2561" width="6.7109375" style="288" customWidth="1"/>
    <col min="2562" max="2562" width="30" style="288" customWidth="1"/>
    <col min="2563" max="2563" width="9.28515625" style="288" bestFit="1" customWidth="1"/>
    <col min="2564" max="2564" width="5.42578125" style="288" customWidth="1"/>
    <col min="2565" max="2565" width="7.85546875" style="288" customWidth="1"/>
    <col min="2566" max="2566" width="8.85546875" style="288" customWidth="1"/>
    <col min="2567" max="2567" width="12.85546875" style="288" customWidth="1"/>
    <col min="2568" max="2568" width="13.28515625" style="288" customWidth="1"/>
    <col min="2569" max="2569" width="6.28515625" style="288" bestFit="1" customWidth="1"/>
    <col min="2570" max="2816" width="9.140625" style="288"/>
    <col min="2817" max="2817" width="6.7109375" style="288" customWidth="1"/>
    <col min="2818" max="2818" width="30" style="288" customWidth="1"/>
    <col min="2819" max="2819" width="9.28515625" style="288" bestFit="1" customWidth="1"/>
    <col min="2820" max="2820" width="5.42578125" style="288" customWidth="1"/>
    <col min="2821" max="2821" width="7.85546875" style="288" customWidth="1"/>
    <col min="2822" max="2822" width="8.85546875" style="288" customWidth="1"/>
    <col min="2823" max="2823" width="12.85546875" style="288" customWidth="1"/>
    <col min="2824" max="2824" width="13.28515625" style="288" customWidth="1"/>
    <col min="2825" max="2825" width="6.28515625" style="288" bestFit="1" customWidth="1"/>
    <col min="2826" max="3072" width="9.140625" style="288"/>
    <col min="3073" max="3073" width="6.7109375" style="288" customWidth="1"/>
    <col min="3074" max="3074" width="30" style="288" customWidth="1"/>
    <col min="3075" max="3075" width="9.28515625" style="288" bestFit="1" customWidth="1"/>
    <col min="3076" max="3076" width="5.42578125" style="288" customWidth="1"/>
    <col min="3077" max="3077" width="7.85546875" style="288" customWidth="1"/>
    <col min="3078" max="3078" width="8.85546875" style="288" customWidth="1"/>
    <col min="3079" max="3079" width="12.85546875" style="288" customWidth="1"/>
    <col min="3080" max="3080" width="13.28515625" style="288" customWidth="1"/>
    <col min="3081" max="3081" width="6.28515625" style="288" bestFit="1" customWidth="1"/>
    <col min="3082" max="3328" width="9.140625" style="288"/>
    <col min="3329" max="3329" width="6.7109375" style="288" customWidth="1"/>
    <col min="3330" max="3330" width="30" style="288" customWidth="1"/>
    <col min="3331" max="3331" width="9.28515625" style="288" bestFit="1" customWidth="1"/>
    <col min="3332" max="3332" width="5.42578125" style="288" customWidth="1"/>
    <col min="3333" max="3333" width="7.85546875" style="288" customWidth="1"/>
    <col min="3334" max="3334" width="8.85546875" style="288" customWidth="1"/>
    <col min="3335" max="3335" width="12.85546875" style="288" customWidth="1"/>
    <col min="3336" max="3336" width="13.28515625" style="288" customWidth="1"/>
    <col min="3337" max="3337" width="6.28515625" style="288" bestFit="1" customWidth="1"/>
    <col min="3338" max="3584" width="9.140625" style="288"/>
    <col min="3585" max="3585" width="6.7109375" style="288" customWidth="1"/>
    <col min="3586" max="3586" width="30" style="288" customWidth="1"/>
    <col min="3587" max="3587" width="9.28515625" style="288" bestFit="1" customWidth="1"/>
    <col min="3588" max="3588" width="5.42578125" style="288" customWidth="1"/>
    <col min="3589" max="3589" width="7.85546875" style="288" customWidth="1"/>
    <col min="3590" max="3590" width="8.85546875" style="288" customWidth="1"/>
    <col min="3591" max="3591" width="12.85546875" style="288" customWidth="1"/>
    <col min="3592" max="3592" width="13.28515625" style="288" customWidth="1"/>
    <col min="3593" max="3593" width="6.28515625" style="288" bestFit="1" customWidth="1"/>
    <col min="3594" max="3840" width="9.140625" style="288"/>
    <col min="3841" max="3841" width="6.7109375" style="288" customWidth="1"/>
    <col min="3842" max="3842" width="30" style="288" customWidth="1"/>
    <col min="3843" max="3843" width="9.28515625" style="288" bestFit="1" customWidth="1"/>
    <col min="3844" max="3844" width="5.42578125" style="288" customWidth="1"/>
    <col min="3845" max="3845" width="7.85546875" style="288" customWidth="1"/>
    <col min="3846" max="3846" width="8.85546875" style="288" customWidth="1"/>
    <col min="3847" max="3847" width="12.85546875" style="288" customWidth="1"/>
    <col min="3848" max="3848" width="13.28515625" style="288" customWidth="1"/>
    <col min="3849" max="3849" width="6.28515625" style="288" bestFit="1" customWidth="1"/>
    <col min="3850" max="4096" width="9.140625" style="288"/>
    <col min="4097" max="4097" width="6.7109375" style="288" customWidth="1"/>
    <col min="4098" max="4098" width="30" style="288" customWidth="1"/>
    <col min="4099" max="4099" width="9.28515625" style="288" bestFit="1" customWidth="1"/>
    <col min="4100" max="4100" width="5.42578125" style="288" customWidth="1"/>
    <col min="4101" max="4101" width="7.85546875" style="288" customWidth="1"/>
    <col min="4102" max="4102" width="8.85546875" style="288" customWidth="1"/>
    <col min="4103" max="4103" width="12.85546875" style="288" customWidth="1"/>
    <col min="4104" max="4104" width="13.28515625" style="288" customWidth="1"/>
    <col min="4105" max="4105" width="6.28515625" style="288" bestFit="1" customWidth="1"/>
    <col min="4106" max="4352" width="9.140625" style="288"/>
    <col min="4353" max="4353" width="6.7109375" style="288" customWidth="1"/>
    <col min="4354" max="4354" width="30" style="288" customWidth="1"/>
    <col min="4355" max="4355" width="9.28515625" style="288" bestFit="1" customWidth="1"/>
    <col min="4356" max="4356" width="5.42578125" style="288" customWidth="1"/>
    <col min="4357" max="4357" width="7.85546875" style="288" customWidth="1"/>
    <col min="4358" max="4358" width="8.85546875" style="288" customWidth="1"/>
    <col min="4359" max="4359" width="12.85546875" style="288" customWidth="1"/>
    <col min="4360" max="4360" width="13.28515625" style="288" customWidth="1"/>
    <col min="4361" max="4361" width="6.28515625" style="288" bestFit="1" customWidth="1"/>
    <col min="4362" max="4608" width="9.140625" style="288"/>
    <col min="4609" max="4609" width="6.7109375" style="288" customWidth="1"/>
    <col min="4610" max="4610" width="30" style="288" customWidth="1"/>
    <col min="4611" max="4611" width="9.28515625" style="288" bestFit="1" customWidth="1"/>
    <col min="4612" max="4612" width="5.42578125" style="288" customWidth="1"/>
    <col min="4613" max="4613" width="7.85546875" style="288" customWidth="1"/>
    <col min="4614" max="4614" width="8.85546875" style="288" customWidth="1"/>
    <col min="4615" max="4615" width="12.85546875" style="288" customWidth="1"/>
    <col min="4616" max="4616" width="13.28515625" style="288" customWidth="1"/>
    <col min="4617" max="4617" width="6.28515625" style="288" bestFit="1" customWidth="1"/>
    <col min="4618" max="4864" width="9.140625" style="288"/>
    <col min="4865" max="4865" width="6.7109375" style="288" customWidth="1"/>
    <col min="4866" max="4866" width="30" style="288" customWidth="1"/>
    <col min="4867" max="4867" width="9.28515625" style="288" bestFit="1" customWidth="1"/>
    <col min="4868" max="4868" width="5.42578125" style="288" customWidth="1"/>
    <col min="4869" max="4869" width="7.85546875" style="288" customWidth="1"/>
    <col min="4870" max="4870" width="8.85546875" style="288" customWidth="1"/>
    <col min="4871" max="4871" width="12.85546875" style="288" customWidth="1"/>
    <col min="4872" max="4872" width="13.28515625" style="288" customWidth="1"/>
    <col min="4873" max="4873" width="6.28515625" style="288" bestFit="1" customWidth="1"/>
    <col min="4874" max="5120" width="9.140625" style="288"/>
    <col min="5121" max="5121" width="6.7109375" style="288" customWidth="1"/>
    <col min="5122" max="5122" width="30" style="288" customWidth="1"/>
    <col min="5123" max="5123" width="9.28515625" style="288" bestFit="1" customWidth="1"/>
    <col min="5124" max="5124" width="5.42578125" style="288" customWidth="1"/>
    <col min="5125" max="5125" width="7.85546875" style="288" customWidth="1"/>
    <col min="5126" max="5126" width="8.85546875" style="288" customWidth="1"/>
    <col min="5127" max="5127" width="12.85546875" style="288" customWidth="1"/>
    <col min="5128" max="5128" width="13.28515625" style="288" customWidth="1"/>
    <col min="5129" max="5129" width="6.28515625" style="288" bestFit="1" customWidth="1"/>
    <col min="5130" max="5376" width="9.140625" style="288"/>
    <col min="5377" max="5377" width="6.7109375" style="288" customWidth="1"/>
    <col min="5378" max="5378" width="30" style="288" customWidth="1"/>
    <col min="5379" max="5379" width="9.28515625" style="288" bestFit="1" customWidth="1"/>
    <col min="5380" max="5380" width="5.42578125" style="288" customWidth="1"/>
    <col min="5381" max="5381" width="7.85546875" style="288" customWidth="1"/>
    <col min="5382" max="5382" width="8.85546875" style="288" customWidth="1"/>
    <col min="5383" max="5383" width="12.85546875" style="288" customWidth="1"/>
    <col min="5384" max="5384" width="13.28515625" style="288" customWidth="1"/>
    <col min="5385" max="5385" width="6.28515625" style="288" bestFit="1" customWidth="1"/>
    <col min="5386" max="5632" width="9.140625" style="288"/>
    <col min="5633" max="5633" width="6.7109375" style="288" customWidth="1"/>
    <col min="5634" max="5634" width="30" style="288" customWidth="1"/>
    <col min="5635" max="5635" width="9.28515625" style="288" bestFit="1" customWidth="1"/>
    <col min="5636" max="5636" width="5.42578125" style="288" customWidth="1"/>
    <col min="5637" max="5637" width="7.85546875" style="288" customWidth="1"/>
    <col min="5638" max="5638" width="8.85546875" style="288" customWidth="1"/>
    <col min="5639" max="5639" width="12.85546875" style="288" customWidth="1"/>
    <col min="5640" max="5640" width="13.28515625" style="288" customWidth="1"/>
    <col min="5641" max="5641" width="6.28515625" style="288" bestFit="1" customWidth="1"/>
    <col min="5642" max="5888" width="9.140625" style="288"/>
    <col min="5889" max="5889" width="6.7109375" style="288" customWidth="1"/>
    <col min="5890" max="5890" width="30" style="288" customWidth="1"/>
    <col min="5891" max="5891" width="9.28515625" style="288" bestFit="1" customWidth="1"/>
    <col min="5892" max="5892" width="5.42578125" style="288" customWidth="1"/>
    <col min="5893" max="5893" width="7.85546875" style="288" customWidth="1"/>
    <col min="5894" max="5894" width="8.85546875" style="288" customWidth="1"/>
    <col min="5895" max="5895" width="12.85546875" style="288" customWidth="1"/>
    <col min="5896" max="5896" width="13.28515625" style="288" customWidth="1"/>
    <col min="5897" max="5897" width="6.28515625" style="288" bestFit="1" customWidth="1"/>
    <col min="5898" max="6144" width="9.140625" style="288"/>
    <col min="6145" max="6145" width="6.7109375" style="288" customWidth="1"/>
    <col min="6146" max="6146" width="30" style="288" customWidth="1"/>
    <col min="6147" max="6147" width="9.28515625" style="288" bestFit="1" customWidth="1"/>
    <col min="6148" max="6148" width="5.42578125" style="288" customWidth="1"/>
    <col min="6149" max="6149" width="7.85546875" style="288" customWidth="1"/>
    <col min="6150" max="6150" width="8.85546875" style="288" customWidth="1"/>
    <col min="6151" max="6151" width="12.85546875" style="288" customWidth="1"/>
    <col min="6152" max="6152" width="13.28515625" style="288" customWidth="1"/>
    <col min="6153" max="6153" width="6.28515625" style="288" bestFit="1" customWidth="1"/>
    <col min="6154" max="6400" width="9.140625" style="288"/>
    <col min="6401" max="6401" width="6.7109375" style="288" customWidth="1"/>
    <col min="6402" max="6402" width="30" style="288" customWidth="1"/>
    <col min="6403" max="6403" width="9.28515625" style="288" bestFit="1" customWidth="1"/>
    <col min="6404" max="6404" width="5.42578125" style="288" customWidth="1"/>
    <col min="6405" max="6405" width="7.85546875" style="288" customWidth="1"/>
    <col min="6406" max="6406" width="8.85546875" style="288" customWidth="1"/>
    <col min="6407" max="6407" width="12.85546875" style="288" customWidth="1"/>
    <col min="6408" max="6408" width="13.28515625" style="288" customWidth="1"/>
    <col min="6409" max="6409" width="6.28515625" style="288" bestFit="1" customWidth="1"/>
    <col min="6410" max="6656" width="9.140625" style="288"/>
    <col min="6657" max="6657" width="6.7109375" style="288" customWidth="1"/>
    <col min="6658" max="6658" width="30" style="288" customWidth="1"/>
    <col min="6659" max="6659" width="9.28515625" style="288" bestFit="1" customWidth="1"/>
    <col min="6660" max="6660" width="5.42578125" style="288" customWidth="1"/>
    <col min="6661" max="6661" width="7.85546875" style="288" customWidth="1"/>
    <col min="6662" max="6662" width="8.85546875" style="288" customWidth="1"/>
    <col min="6663" max="6663" width="12.85546875" style="288" customWidth="1"/>
    <col min="6664" max="6664" width="13.28515625" style="288" customWidth="1"/>
    <col min="6665" max="6665" width="6.28515625" style="288" bestFit="1" customWidth="1"/>
    <col min="6666" max="6912" width="9.140625" style="288"/>
    <col min="6913" max="6913" width="6.7109375" style="288" customWidth="1"/>
    <col min="6914" max="6914" width="30" style="288" customWidth="1"/>
    <col min="6915" max="6915" width="9.28515625" style="288" bestFit="1" customWidth="1"/>
    <col min="6916" max="6916" width="5.42578125" style="288" customWidth="1"/>
    <col min="6917" max="6917" width="7.85546875" style="288" customWidth="1"/>
    <col min="6918" max="6918" width="8.85546875" style="288" customWidth="1"/>
    <col min="6919" max="6919" width="12.85546875" style="288" customWidth="1"/>
    <col min="6920" max="6920" width="13.28515625" style="288" customWidth="1"/>
    <col min="6921" max="6921" width="6.28515625" style="288" bestFit="1" customWidth="1"/>
    <col min="6922" max="7168" width="9.140625" style="288"/>
    <col min="7169" max="7169" width="6.7109375" style="288" customWidth="1"/>
    <col min="7170" max="7170" width="30" style="288" customWidth="1"/>
    <col min="7171" max="7171" width="9.28515625" style="288" bestFit="1" customWidth="1"/>
    <col min="7172" max="7172" width="5.42578125" style="288" customWidth="1"/>
    <col min="7173" max="7173" width="7.85546875" style="288" customWidth="1"/>
    <col min="7174" max="7174" width="8.85546875" style="288" customWidth="1"/>
    <col min="7175" max="7175" width="12.85546875" style="288" customWidth="1"/>
    <col min="7176" max="7176" width="13.28515625" style="288" customWidth="1"/>
    <col min="7177" max="7177" width="6.28515625" style="288" bestFit="1" customWidth="1"/>
    <col min="7178" max="7424" width="9.140625" style="288"/>
    <col min="7425" max="7425" width="6.7109375" style="288" customWidth="1"/>
    <col min="7426" max="7426" width="30" style="288" customWidth="1"/>
    <col min="7427" max="7427" width="9.28515625" style="288" bestFit="1" customWidth="1"/>
    <col min="7428" max="7428" width="5.42578125" style="288" customWidth="1"/>
    <col min="7429" max="7429" width="7.85546875" style="288" customWidth="1"/>
    <col min="7430" max="7430" width="8.85546875" style="288" customWidth="1"/>
    <col min="7431" max="7431" width="12.85546875" style="288" customWidth="1"/>
    <col min="7432" max="7432" width="13.28515625" style="288" customWidth="1"/>
    <col min="7433" max="7433" width="6.28515625" style="288" bestFit="1" customWidth="1"/>
    <col min="7434" max="7680" width="9.140625" style="288"/>
    <col min="7681" max="7681" width="6.7109375" style="288" customWidth="1"/>
    <col min="7682" max="7682" width="30" style="288" customWidth="1"/>
    <col min="7683" max="7683" width="9.28515625" style="288" bestFit="1" customWidth="1"/>
    <col min="7684" max="7684" width="5.42578125" style="288" customWidth="1"/>
    <col min="7685" max="7685" width="7.85546875" style="288" customWidth="1"/>
    <col min="7686" max="7686" width="8.85546875" style="288" customWidth="1"/>
    <col min="7687" max="7687" width="12.85546875" style="288" customWidth="1"/>
    <col min="7688" max="7688" width="13.28515625" style="288" customWidth="1"/>
    <col min="7689" max="7689" width="6.28515625" style="288" bestFit="1" customWidth="1"/>
    <col min="7690" max="7936" width="9.140625" style="288"/>
    <col min="7937" max="7937" width="6.7109375" style="288" customWidth="1"/>
    <col min="7938" max="7938" width="30" style="288" customWidth="1"/>
    <col min="7939" max="7939" width="9.28515625" style="288" bestFit="1" customWidth="1"/>
    <col min="7940" max="7940" width="5.42578125" style="288" customWidth="1"/>
    <col min="7941" max="7941" width="7.85546875" style="288" customWidth="1"/>
    <col min="7942" max="7942" width="8.85546875" style="288" customWidth="1"/>
    <col min="7943" max="7943" width="12.85546875" style="288" customWidth="1"/>
    <col min="7944" max="7944" width="13.28515625" style="288" customWidth="1"/>
    <col min="7945" max="7945" width="6.28515625" style="288" bestFit="1" customWidth="1"/>
    <col min="7946" max="8192" width="9.140625" style="288"/>
    <col min="8193" max="8193" width="6.7109375" style="288" customWidth="1"/>
    <col min="8194" max="8194" width="30" style="288" customWidth="1"/>
    <col min="8195" max="8195" width="9.28515625" style="288" bestFit="1" customWidth="1"/>
    <col min="8196" max="8196" width="5.42578125" style="288" customWidth="1"/>
    <col min="8197" max="8197" width="7.85546875" style="288" customWidth="1"/>
    <col min="8198" max="8198" width="8.85546875" style="288" customWidth="1"/>
    <col min="8199" max="8199" width="12.85546875" style="288" customWidth="1"/>
    <col min="8200" max="8200" width="13.28515625" style="288" customWidth="1"/>
    <col min="8201" max="8201" width="6.28515625" style="288" bestFit="1" customWidth="1"/>
    <col min="8202" max="8448" width="9.140625" style="288"/>
    <col min="8449" max="8449" width="6.7109375" style="288" customWidth="1"/>
    <col min="8450" max="8450" width="30" style="288" customWidth="1"/>
    <col min="8451" max="8451" width="9.28515625" style="288" bestFit="1" customWidth="1"/>
    <col min="8452" max="8452" width="5.42578125" style="288" customWidth="1"/>
    <col min="8453" max="8453" width="7.85546875" style="288" customWidth="1"/>
    <col min="8454" max="8454" width="8.85546875" style="288" customWidth="1"/>
    <col min="8455" max="8455" width="12.85546875" style="288" customWidth="1"/>
    <col min="8456" max="8456" width="13.28515625" style="288" customWidth="1"/>
    <col min="8457" max="8457" width="6.28515625" style="288" bestFit="1" customWidth="1"/>
    <col min="8458" max="8704" width="9.140625" style="288"/>
    <col min="8705" max="8705" width="6.7109375" style="288" customWidth="1"/>
    <col min="8706" max="8706" width="30" style="288" customWidth="1"/>
    <col min="8707" max="8707" width="9.28515625" style="288" bestFit="1" customWidth="1"/>
    <col min="8708" max="8708" width="5.42578125" style="288" customWidth="1"/>
    <col min="8709" max="8709" width="7.85546875" style="288" customWidth="1"/>
    <col min="8710" max="8710" width="8.85546875" style="288" customWidth="1"/>
    <col min="8711" max="8711" width="12.85546875" style="288" customWidth="1"/>
    <col min="8712" max="8712" width="13.28515625" style="288" customWidth="1"/>
    <col min="8713" max="8713" width="6.28515625" style="288" bestFit="1" customWidth="1"/>
    <col min="8714" max="8960" width="9.140625" style="288"/>
    <col min="8961" max="8961" width="6.7109375" style="288" customWidth="1"/>
    <col min="8962" max="8962" width="30" style="288" customWidth="1"/>
    <col min="8963" max="8963" width="9.28515625" style="288" bestFit="1" customWidth="1"/>
    <col min="8964" max="8964" width="5.42578125" style="288" customWidth="1"/>
    <col min="8965" max="8965" width="7.85546875" style="288" customWidth="1"/>
    <col min="8966" max="8966" width="8.85546875" style="288" customWidth="1"/>
    <col min="8967" max="8967" width="12.85546875" style="288" customWidth="1"/>
    <col min="8968" max="8968" width="13.28515625" style="288" customWidth="1"/>
    <col min="8969" max="8969" width="6.28515625" style="288" bestFit="1" customWidth="1"/>
    <col min="8970" max="9216" width="9.140625" style="288"/>
    <col min="9217" max="9217" width="6.7109375" style="288" customWidth="1"/>
    <col min="9218" max="9218" width="30" style="288" customWidth="1"/>
    <col min="9219" max="9219" width="9.28515625" style="288" bestFit="1" customWidth="1"/>
    <col min="9220" max="9220" width="5.42578125" style="288" customWidth="1"/>
    <col min="9221" max="9221" width="7.85546875" style="288" customWidth="1"/>
    <col min="9222" max="9222" width="8.85546875" style="288" customWidth="1"/>
    <col min="9223" max="9223" width="12.85546875" style="288" customWidth="1"/>
    <col min="9224" max="9224" width="13.28515625" style="288" customWidth="1"/>
    <col min="9225" max="9225" width="6.28515625" style="288" bestFit="1" customWidth="1"/>
    <col min="9226" max="9472" width="9.140625" style="288"/>
    <col min="9473" max="9473" width="6.7109375" style="288" customWidth="1"/>
    <col min="9474" max="9474" width="30" style="288" customWidth="1"/>
    <col min="9475" max="9475" width="9.28515625" style="288" bestFit="1" customWidth="1"/>
    <col min="9476" max="9476" width="5.42578125" style="288" customWidth="1"/>
    <col min="9477" max="9477" width="7.85546875" style="288" customWidth="1"/>
    <col min="9478" max="9478" width="8.85546875" style="288" customWidth="1"/>
    <col min="9479" max="9479" width="12.85546875" style="288" customWidth="1"/>
    <col min="9480" max="9480" width="13.28515625" style="288" customWidth="1"/>
    <col min="9481" max="9481" width="6.28515625" style="288" bestFit="1" customWidth="1"/>
    <col min="9482" max="9728" width="9.140625" style="288"/>
    <col min="9729" max="9729" width="6.7109375" style="288" customWidth="1"/>
    <col min="9730" max="9730" width="30" style="288" customWidth="1"/>
    <col min="9731" max="9731" width="9.28515625" style="288" bestFit="1" customWidth="1"/>
    <col min="9732" max="9732" width="5.42578125" style="288" customWidth="1"/>
    <col min="9733" max="9733" width="7.85546875" style="288" customWidth="1"/>
    <col min="9734" max="9734" width="8.85546875" style="288" customWidth="1"/>
    <col min="9735" max="9735" width="12.85546875" style="288" customWidth="1"/>
    <col min="9736" max="9736" width="13.28515625" style="288" customWidth="1"/>
    <col min="9737" max="9737" width="6.28515625" style="288" bestFit="1" customWidth="1"/>
    <col min="9738" max="9984" width="9.140625" style="288"/>
    <col min="9985" max="9985" width="6.7109375" style="288" customWidth="1"/>
    <col min="9986" max="9986" width="30" style="288" customWidth="1"/>
    <col min="9987" max="9987" width="9.28515625" style="288" bestFit="1" customWidth="1"/>
    <col min="9988" max="9988" width="5.42578125" style="288" customWidth="1"/>
    <col min="9989" max="9989" width="7.85546875" style="288" customWidth="1"/>
    <col min="9990" max="9990" width="8.85546875" style="288" customWidth="1"/>
    <col min="9991" max="9991" width="12.85546875" style="288" customWidth="1"/>
    <col min="9992" max="9992" width="13.28515625" style="288" customWidth="1"/>
    <col min="9993" max="9993" width="6.28515625" style="288" bestFit="1" customWidth="1"/>
    <col min="9994" max="10240" width="9.140625" style="288"/>
    <col min="10241" max="10241" width="6.7109375" style="288" customWidth="1"/>
    <col min="10242" max="10242" width="30" style="288" customWidth="1"/>
    <col min="10243" max="10243" width="9.28515625" style="288" bestFit="1" customWidth="1"/>
    <col min="10244" max="10244" width="5.42578125" style="288" customWidth="1"/>
    <col min="10245" max="10245" width="7.85546875" style="288" customWidth="1"/>
    <col min="10246" max="10246" width="8.85546875" style="288" customWidth="1"/>
    <col min="10247" max="10247" width="12.85546875" style="288" customWidth="1"/>
    <col min="10248" max="10248" width="13.28515625" style="288" customWidth="1"/>
    <col min="10249" max="10249" width="6.28515625" style="288" bestFit="1" customWidth="1"/>
    <col min="10250" max="10496" width="9.140625" style="288"/>
    <col min="10497" max="10497" width="6.7109375" style="288" customWidth="1"/>
    <col min="10498" max="10498" width="30" style="288" customWidth="1"/>
    <col min="10499" max="10499" width="9.28515625" style="288" bestFit="1" customWidth="1"/>
    <col min="10500" max="10500" width="5.42578125" style="288" customWidth="1"/>
    <col min="10501" max="10501" width="7.85546875" style="288" customWidth="1"/>
    <col min="10502" max="10502" width="8.85546875" style="288" customWidth="1"/>
    <col min="10503" max="10503" width="12.85546875" style="288" customWidth="1"/>
    <col min="10504" max="10504" width="13.28515625" style="288" customWidth="1"/>
    <col min="10505" max="10505" width="6.28515625" style="288" bestFit="1" customWidth="1"/>
    <col min="10506" max="10752" width="9.140625" style="288"/>
    <col min="10753" max="10753" width="6.7109375" style="288" customWidth="1"/>
    <col min="10754" max="10754" width="30" style="288" customWidth="1"/>
    <col min="10755" max="10755" width="9.28515625" style="288" bestFit="1" customWidth="1"/>
    <col min="10756" max="10756" width="5.42578125" style="288" customWidth="1"/>
    <col min="10757" max="10757" width="7.85546875" style="288" customWidth="1"/>
    <col min="10758" max="10758" width="8.85546875" style="288" customWidth="1"/>
    <col min="10759" max="10759" width="12.85546875" style="288" customWidth="1"/>
    <col min="10760" max="10760" width="13.28515625" style="288" customWidth="1"/>
    <col min="10761" max="10761" width="6.28515625" style="288" bestFit="1" customWidth="1"/>
    <col min="10762" max="11008" width="9.140625" style="288"/>
    <col min="11009" max="11009" width="6.7109375" style="288" customWidth="1"/>
    <col min="11010" max="11010" width="30" style="288" customWidth="1"/>
    <col min="11011" max="11011" width="9.28515625" style="288" bestFit="1" customWidth="1"/>
    <col min="11012" max="11012" width="5.42578125" style="288" customWidth="1"/>
    <col min="11013" max="11013" width="7.85546875" style="288" customWidth="1"/>
    <col min="11014" max="11014" width="8.85546875" style="288" customWidth="1"/>
    <col min="11015" max="11015" width="12.85546875" style="288" customWidth="1"/>
    <col min="11016" max="11016" width="13.28515625" style="288" customWidth="1"/>
    <col min="11017" max="11017" width="6.28515625" style="288" bestFit="1" customWidth="1"/>
    <col min="11018" max="11264" width="9.140625" style="288"/>
    <col min="11265" max="11265" width="6.7109375" style="288" customWidth="1"/>
    <col min="11266" max="11266" width="30" style="288" customWidth="1"/>
    <col min="11267" max="11267" width="9.28515625" style="288" bestFit="1" customWidth="1"/>
    <col min="11268" max="11268" width="5.42578125" style="288" customWidth="1"/>
    <col min="11269" max="11269" width="7.85546875" style="288" customWidth="1"/>
    <col min="11270" max="11270" width="8.85546875" style="288" customWidth="1"/>
    <col min="11271" max="11271" width="12.85546875" style="288" customWidth="1"/>
    <col min="11272" max="11272" width="13.28515625" style="288" customWidth="1"/>
    <col min="11273" max="11273" width="6.28515625" style="288" bestFit="1" customWidth="1"/>
    <col min="11274" max="11520" width="9.140625" style="288"/>
    <col min="11521" max="11521" width="6.7109375" style="288" customWidth="1"/>
    <col min="11522" max="11522" width="30" style="288" customWidth="1"/>
    <col min="11523" max="11523" width="9.28515625" style="288" bestFit="1" customWidth="1"/>
    <col min="11524" max="11524" width="5.42578125" style="288" customWidth="1"/>
    <col min="11525" max="11525" width="7.85546875" style="288" customWidth="1"/>
    <col min="11526" max="11526" width="8.85546875" style="288" customWidth="1"/>
    <col min="11527" max="11527" width="12.85546875" style="288" customWidth="1"/>
    <col min="11528" max="11528" width="13.28515625" style="288" customWidth="1"/>
    <col min="11529" max="11529" width="6.28515625" style="288" bestFit="1" customWidth="1"/>
    <col min="11530" max="11776" width="9.140625" style="288"/>
    <col min="11777" max="11777" width="6.7109375" style="288" customWidth="1"/>
    <col min="11778" max="11778" width="30" style="288" customWidth="1"/>
    <col min="11779" max="11779" width="9.28515625" style="288" bestFit="1" customWidth="1"/>
    <col min="11780" max="11780" width="5.42578125" style="288" customWidth="1"/>
    <col min="11781" max="11781" width="7.85546875" style="288" customWidth="1"/>
    <col min="11782" max="11782" width="8.85546875" style="288" customWidth="1"/>
    <col min="11783" max="11783" width="12.85546875" style="288" customWidth="1"/>
    <col min="11784" max="11784" width="13.28515625" style="288" customWidth="1"/>
    <col min="11785" max="11785" width="6.28515625" style="288" bestFit="1" customWidth="1"/>
    <col min="11786" max="12032" width="9.140625" style="288"/>
    <col min="12033" max="12033" width="6.7109375" style="288" customWidth="1"/>
    <col min="12034" max="12034" width="30" style="288" customWidth="1"/>
    <col min="12035" max="12035" width="9.28515625" style="288" bestFit="1" customWidth="1"/>
    <col min="12036" max="12036" width="5.42578125" style="288" customWidth="1"/>
    <col min="12037" max="12037" width="7.85546875" style="288" customWidth="1"/>
    <col min="12038" max="12038" width="8.85546875" style="288" customWidth="1"/>
    <col min="12039" max="12039" width="12.85546875" style="288" customWidth="1"/>
    <col min="12040" max="12040" width="13.28515625" style="288" customWidth="1"/>
    <col min="12041" max="12041" width="6.28515625" style="288" bestFit="1" customWidth="1"/>
    <col min="12042" max="12288" width="9.140625" style="288"/>
    <col min="12289" max="12289" width="6.7109375" style="288" customWidth="1"/>
    <col min="12290" max="12290" width="30" style="288" customWidth="1"/>
    <col min="12291" max="12291" width="9.28515625" style="288" bestFit="1" customWidth="1"/>
    <col min="12292" max="12292" width="5.42578125" style="288" customWidth="1"/>
    <col min="12293" max="12293" width="7.85546875" style="288" customWidth="1"/>
    <col min="12294" max="12294" width="8.85546875" style="288" customWidth="1"/>
    <col min="12295" max="12295" width="12.85546875" style="288" customWidth="1"/>
    <col min="12296" max="12296" width="13.28515625" style="288" customWidth="1"/>
    <col min="12297" max="12297" width="6.28515625" style="288" bestFit="1" customWidth="1"/>
    <col min="12298" max="12544" width="9.140625" style="288"/>
    <col min="12545" max="12545" width="6.7109375" style="288" customWidth="1"/>
    <col min="12546" max="12546" width="30" style="288" customWidth="1"/>
    <col min="12547" max="12547" width="9.28515625" style="288" bestFit="1" customWidth="1"/>
    <col min="12548" max="12548" width="5.42578125" style="288" customWidth="1"/>
    <col min="12549" max="12549" width="7.85546875" style="288" customWidth="1"/>
    <col min="12550" max="12550" width="8.85546875" style="288" customWidth="1"/>
    <col min="12551" max="12551" width="12.85546875" style="288" customWidth="1"/>
    <col min="12552" max="12552" width="13.28515625" style="288" customWidth="1"/>
    <col min="12553" max="12553" width="6.28515625" style="288" bestFit="1" customWidth="1"/>
    <col min="12554" max="12800" width="9.140625" style="288"/>
    <col min="12801" max="12801" width="6.7109375" style="288" customWidth="1"/>
    <col min="12802" max="12802" width="30" style="288" customWidth="1"/>
    <col min="12803" max="12803" width="9.28515625" style="288" bestFit="1" customWidth="1"/>
    <col min="12804" max="12804" width="5.42578125" style="288" customWidth="1"/>
    <col min="12805" max="12805" width="7.85546875" style="288" customWidth="1"/>
    <col min="12806" max="12806" width="8.85546875" style="288" customWidth="1"/>
    <col min="12807" max="12807" width="12.85546875" style="288" customWidth="1"/>
    <col min="12808" max="12808" width="13.28515625" style="288" customWidth="1"/>
    <col min="12809" max="12809" width="6.28515625" style="288" bestFit="1" customWidth="1"/>
    <col min="12810" max="13056" width="9.140625" style="288"/>
    <col min="13057" max="13057" width="6.7109375" style="288" customWidth="1"/>
    <col min="13058" max="13058" width="30" style="288" customWidth="1"/>
    <col min="13059" max="13059" width="9.28515625" style="288" bestFit="1" customWidth="1"/>
    <col min="13060" max="13060" width="5.42578125" style="288" customWidth="1"/>
    <col min="13061" max="13061" width="7.85546875" style="288" customWidth="1"/>
    <col min="13062" max="13062" width="8.85546875" style="288" customWidth="1"/>
    <col min="13063" max="13063" width="12.85546875" style="288" customWidth="1"/>
    <col min="13064" max="13064" width="13.28515625" style="288" customWidth="1"/>
    <col min="13065" max="13065" width="6.28515625" style="288" bestFit="1" customWidth="1"/>
    <col min="13066" max="13312" width="9.140625" style="288"/>
    <col min="13313" max="13313" width="6.7109375" style="288" customWidth="1"/>
    <col min="13314" max="13314" width="30" style="288" customWidth="1"/>
    <col min="13315" max="13315" width="9.28515625" style="288" bestFit="1" customWidth="1"/>
    <col min="13316" max="13316" width="5.42578125" style="288" customWidth="1"/>
    <col min="13317" max="13317" width="7.85546875" style="288" customWidth="1"/>
    <col min="13318" max="13318" width="8.85546875" style="288" customWidth="1"/>
    <col min="13319" max="13319" width="12.85546875" style="288" customWidth="1"/>
    <col min="13320" max="13320" width="13.28515625" style="288" customWidth="1"/>
    <col min="13321" max="13321" width="6.28515625" style="288" bestFit="1" customWidth="1"/>
    <col min="13322" max="13568" width="9.140625" style="288"/>
    <col min="13569" max="13569" width="6.7109375" style="288" customWidth="1"/>
    <col min="13570" max="13570" width="30" style="288" customWidth="1"/>
    <col min="13571" max="13571" width="9.28515625" style="288" bestFit="1" customWidth="1"/>
    <col min="13572" max="13572" width="5.42578125" style="288" customWidth="1"/>
    <col min="13573" max="13573" width="7.85546875" style="288" customWidth="1"/>
    <col min="13574" max="13574" width="8.85546875" style="288" customWidth="1"/>
    <col min="13575" max="13575" width="12.85546875" style="288" customWidth="1"/>
    <col min="13576" max="13576" width="13.28515625" style="288" customWidth="1"/>
    <col min="13577" max="13577" width="6.28515625" style="288" bestFit="1" customWidth="1"/>
    <col min="13578" max="13824" width="9.140625" style="288"/>
    <col min="13825" max="13825" width="6.7109375" style="288" customWidth="1"/>
    <col min="13826" max="13826" width="30" style="288" customWidth="1"/>
    <col min="13827" max="13827" width="9.28515625" style="288" bestFit="1" customWidth="1"/>
    <col min="13828" max="13828" width="5.42578125" style="288" customWidth="1"/>
    <col min="13829" max="13829" width="7.85546875" style="288" customWidth="1"/>
    <col min="13830" max="13830" width="8.85546875" style="288" customWidth="1"/>
    <col min="13831" max="13831" width="12.85546875" style="288" customWidth="1"/>
    <col min="13832" max="13832" width="13.28515625" style="288" customWidth="1"/>
    <col min="13833" max="13833" width="6.28515625" style="288" bestFit="1" customWidth="1"/>
    <col min="13834" max="14080" width="9.140625" style="288"/>
    <col min="14081" max="14081" width="6.7109375" style="288" customWidth="1"/>
    <col min="14082" max="14082" width="30" style="288" customWidth="1"/>
    <col min="14083" max="14083" width="9.28515625" style="288" bestFit="1" customWidth="1"/>
    <col min="14084" max="14084" width="5.42578125" style="288" customWidth="1"/>
    <col min="14085" max="14085" width="7.85546875" style="288" customWidth="1"/>
    <col min="14086" max="14086" width="8.85546875" style="288" customWidth="1"/>
    <col min="14087" max="14087" width="12.85546875" style="288" customWidth="1"/>
    <col min="14088" max="14088" width="13.28515625" style="288" customWidth="1"/>
    <col min="14089" max="14089" width="6.28515625" style="288" bestFit="1" customWidth="1"/>
    <col min="14090" max="14336" width="9.140625" style="288"/>
    <col min="14337" max="14337" width="6.7109375" style="288" customWidth="1"/>
    <col min="14338" max="14338" width="30" style="288" customWidth="1"/>
    <col min="14339" max="14339" width="9.28515625" style="288" bestFit="1" customWidth="1"/>
    <col min="14340" max="14340" width="5.42578125" style="288" customWidth="1"/>
    <col min="14341" max="14341" width="7.85546875" style="288" customWidth="1"/>
    <col min="14342" max="14342" width="8.85546875" style="288" customWidth="1"/>
    <col min="14343" max="14343" width="12.85546875" style="288" customWidth="1"/>
    <col min="14344" max="14344" width="13.28515625" style="288" customWidth="1"/>
    <col min="14345" max="14345" width="6.28515625" style="288" bestFit="1" customWidth="1"/>
    <col min="14346" max="14592" width="9.140625" style="288"/>
    <col min="14593" max="14593" width="6.7109375" style="288" customWidth="1"/>
    <col min="14594" max="14594" width="30" style="288" customWidth="1"/>
    <col min="14595" max="14595" width="9.28515625" style="288" bestFit="1" customWidth="1"/>
    <col min="14596" max="14596" width="5.42578125" style="288" customWidth="1"/>
    <col min="14597" max="14597" width="7.85546875" style="288" customWidth="1"/>
    <col min="14598" max="14598" width="8.85546875" style="288" customWidth="1"/>
    <col min="14599" max="14599" width="12.85546875" style="288" customWidth="1"/>
    <col min="14600" max="14600" width="13.28515625" style="288" customWidth="1"/>
    <col min="14601" max="14601" width="6.28515625" style="288" bestFit="1" customWidth="1"/>
    <col min="14602" max="14848" width="9.140625" style="288"/>
    <col min="14849" max="14849" width="6.7109375" style="288" customWidth="1"/>
    <col min="14850" max="14850" width="30" style="288" customWidth="1"/>
    <col min="14851" max="14851" width="9.28515625" style="288" bestFit="1" customWidth="1"/>
    <col min="14852" max="14852" width="5.42578125" style="288" customWidth="1"/>
    <col min="14853" max="14853" width="7.85546875" style="288" customWidth="1"/>
    <col min="14854" max="14854" width="8.85546875" style="288" customWidth="1"/>
    <col min="14855" max="14855" width="12.85546875" style="288" customWidth="1"/>
    <col min="14856" max="14856" width="13.28515625" style="288" customWidth="1"/>
    <col min="14857" max="14857" width="6.28515625" style="288" bestFit="1" customWidth="1"/>
    <col min="14858" max="15104" width="9.140625" style="288"/>
    <col min="15105" max="15105" width="6.7109375" style="288" customWidth="1"/>
    <col min="15106" max="15106" width="30" style="288" customWidth="1"/>
    <col min="15107" max="15107" width="9.28515625" style="288" bestFit="1" customWidth="1"/>
    <col min="15108" max="15108" width="5.42578125" style="288" customWidth="1"/>
    <col min="15109" max="15109" width="7.85546875" style="288" customWidth="1"/>
    <col min="15110" max="15110" width="8.85546875" style="288" customWidth="1"/>
    <col min="15111" max="15111" width="12.85546875" style="288" customWidth="1"/>
    <col min="15112" max="15112" width="13.28515625" style="288" customWidth="1"/>
    <col min="15113" max="15113" width="6.28515625" style="288" bestFit="1" customWidth="1"/>
    <col min="15114" max="15360" width="9.140625" style="288"/>
    <col min="15361" max="15361" width="6.7109375" style="288" customWidth="1"/>
    <col min="15362" max="15362" width="30" style="288" customWidth="1"/>
    <col min="15363" max="15363" width="9.28515625" style="288" bestFit="1" customWidth="1"/>
    <col min="15364" max="15364" width="5.42578125" style="288" customWidth="1"/>
    <col min="15365" max="15365" width="7.85546875" style="288" customWidth="1"/>
    <col min="15366" max="15366" width="8.85546875" style="288" customWidth="1"/>
    <col min="15367" max="15367" width="12.85546875" style="288" customWidth="1"/>
    <col min="15368" max="15368" width="13.28515625" style="288" customWidth="1"/>
    <col min="15369" max="15369" width="6.28515625" style="288" bestFit="1" customWidth="1"/>
    <col min="15370" max="15616" width="9.140625" style="288"/>
    <col min="15617" max="15617" width="6.7109375" style="288" customWidth="1"/>
    <col min="15618" max="15618" width="30" style="288" customWidth="1"/>
    <col min="15619" max="15619" width="9.28515625" style="288" bestFit="1" customWidth="1"/>
    <col min="15620" max="15620" width="5.42578125" style="288" customWidth="1"/>
    <col min="15621" max="15621" width="7.85546875" style="288" customWidth="1"/>
    <col min="15622" max="15622" width="8.85546875" style="288" customWidth="1"/>
    <col min="15623" max="15623" width="12.85546875" style="288" customWidth="1"/>
    <col min="15624" max="15624" width="13.28515625" style="288" customWidth="1"/>
    <col min="15625" max="15625" width="6.28515625" style="288" bestFit="1" customWidth="1"/>
    <col min="15626" max="15872" width="9.140625" style="288"/>
    <col min="15873" max="15873" width="6.7109375" style="288" customWidth="1"/>
    <col min="15874" max="15874" width="30" style="288" customWidth="1"/>
    <col min="15875" max="15875" width="9.28515625" style="288" bestFit="1" customWidth="1"/>
    <col min="15876" max="15876" width="5.42578125" style="288" customWidth="1"/>
    <col min="15877" max="15877" width="7.85546875" style="288" customWidth="1"/>
    <col min="15878" max="15878" width="8.85546875" style="288" customWidth="1"/>
    <col min="15879" max="15879" width="12.85546875" style="288" customWidth="1"/>
    <col min="15880" max="15880" width="13.28515625" style="288" customWidth="1"/>
    <col min="15881" max="15881" width="6.28515625" style="288" bestFit="1" customWidth="1"/>
    <col min="15882" max="16128" width="9.140625" style="288"/>
    <col min="16129" max="16129" width="6.7109375" style="288" customWidth="1"/>
    <col min="16130" max="16130" width="30" style="288" customWidth="1"/>
    <col min="16131" max="16131" width="9.28515625" style="288" bestFit="1" customWidth="1"/>
    <col min="16132" max="16132" width="5.42578125" style="288" customWidth="1"/>
    <col min="16133" max="16133" width="7.85546875" style="288" customWidth="1"/>
    <col min="16134" max="16134" width="8.85546875" style="288" customWidth="1"/>
    <col min="16135" max="16135" width="12.85546875" style="288" customWidth="1"/>
    <col min="16136" max="16136" width="13.28515625" style="288" customWidth="1"/>
    <col min="16137" max="16137" width="6.28515625" style="288" bestFit="1" customWidth="1"/>
    <col min="16138" max="16384" width="9.140625" style="288"/>
  </cols>
  <sheetData>
    <row r="1" spans="1:8">
      <c r="A1" s="283"/>
      <c r="B1" s="284"/>
      <c r="C1" s="285"/>
      <c r="D1" s="283"/>
      <c r="E1" s="286"/>
      <c r="F1" s="287"/>
      <c r="G1" s="283"/>
      <c r="H1" s="283"/>
    </row>
    <row r="2" spans="1:8" ht="15.75">
      <c r="A2" s="474" t="s">
        <v>266</v>
      </c>
      <c r="B2" s="475"/>
      <c r="C2" s="475"/>
      <c r="D2" s="475"/>
      <c r="E2" s="475"/>
      <c r="F2" s="475"/>
      <c r="G2" s="475"/>
      <c r="H2" s="475"/>
    </row>
    <row r="3" spans="1:8">
      <c r="A3" s="283"/>
      <c r="B3" s="289"/>
      <c r="C3" s="290"/>
      <c r="D3" s="289"/>
      <c r="E3" s="291"/>
      <c r="F3" s="289"/>
      <c r="G3" s="289"/>
      <c r="H3" s="289"/>
    </row>
    <row r="4" spans="1:8" ht="36" customHeight="1">
      <c r="A4" s="292"/>
      <c r="B4" s="476" t="s">
        <v>261</v>
      </c>
      <c r="C4" s="476"/>
      <c r="D4" s="476"/>
      <c r="E4" s="476"/>
      <c r="F4" s="476"/>
      <c r="G4" s="476"/>
      <c r="H4" s="292"/>
    </row>
    <row r="5" spans="1:8" ht="21.75" customHeight="1">
      <c r="A5" s="292"/>
      <c r="B5" s="473" t="s">
        <v>267</v>
      </c>
      <c r="C5" s="473"/>
      <c r="D5" s="473"/>
      <c r="E5" s="473"/>
      <c r="F5" s="473"/>
      <c r="G5" s="473"/>
      <c r="H5" s="292"/>
    </row>
    <row r="6" spans="1:8">
      <c r="A6" s="292"/>
      <c r="B6" s="477"/>
      <c r="C6" s="477"/>
      <c r="D6" s="477"/>
      <c r="E6" s="477"/>
      <c r="F6" s="477"/>
      <c r="G6" s="477"/>
      <c r="H6" s="292"/>
    </row>
    <row r="7" spans="1:8">
      <c r="A7" s="292"/>
      <c r="B7" s="477"/>
      <c r="C7" s="477"/>
      <c r="D7" s="477"/>
      <c r="E7" s="477"/>
      <c r="F7" s="477"/>
      <c r="G7" s="477"/>
      <c r="H7" s="292"/>
    </row>
    <row r="8" spans="1:8" ht="16.5" customHeight="1">
      <c r="A8" s="292"/>
      <c r="B8" s="473" t="s">
        <v>268</v>
      </c>
      <c r="C8" s="473"/>
      <c r="D8" s="473"/>
      <c r="E8" s="473"/>
      <c r="F8" s="473"/>
      <c r="G8" s="473"/>
      <c r="H8" s="292"/>
    </row>
    <row r="9" spans="1:8" ht="15.75" customHeight="1">
      <c r="A9" s="292"/>
      <c r="B9" s="473"/>
      <c r="C9" s="473"/>
      <c r="D9" s="473"/>
      <c r="E9" s="473"/>
      <c r="F9" s="473"/>
      <c r="G9" s="473"/>
      <c r="H9" s="292"/>
    </row>
    <row r="10" spans="1:8">
      <c r="A10" s="292"/>
      <c r="B10" s="292"/>
      <c r="C10" s="293"/>
      <c r="D10" s="292"/>
      <c r="E10" s="292"/>
      <c r="F10" s="292"/>
      <c r="G10" s="292"/>
      <c r="H10" s="292"/>
    </row>
    <row r="11" spans="1:8" ht="18">
      <c r="A11" s="292"/>
      <c r="B11" s="292"/>
      <c r="C11" s="294" t="s">
        <v>269</v>
      </c>
      <c r="D11" s="292"/>
      <c r="E11" s="292"/>
      <c r="F11" s="292"/>
      <c r="G11" s="292"/>
      <c r="H11" s="292"/>
    </row>
    <row r="12" spans="1:8">
      <c r="A12" s="292"/>
      <c r="B12" s="292"/>
      <c r="C12" s="293"/>
      <c r="D12" s="292"/>
      <c r="E12" s="292"/>
      <c r="F12" s="292"/>
      <c r="G12" s="292"/>
      <c r="H12" s="292"/>
    </row>
    <row r="13" spans="1:8">
      <c r="A13" s="292"/>
      <c r="B13" s="292"/>
      <c r="C13" s="295"/>
      <c r="D13" s="292"/>
      <c r="E13" s="292"/>
      <c r="F13" s="292"/>
      <c r="G13" s="292"/>
      <c r="H13" s="292"/>
    </row>
    <row r="14" spans="1:8">
      <c r="A14" s="292"/>
      <c r="B14" s="292"/>
      <c r="C14" s="295"/>
      <c r="D14" s="292"/>
      <c r="E14" s="292"/>
      <c r="F14" s="292"/>
      <c r="G14" s="292"/>
      <c r="H14" s="292"/>
    </row>
    <row r="15" spans="1:8" s="302" customFormat="1" ht="45" customHeight="1">
      <c r="A15" s="296" t="s">
        <v>270</v>
      </c>
      <c r="B15" s="297"/>
      <c r="C15" s="298"/>
      <c r="D15" s="297"/>
      <c r="E15" s="299"/>
      <c r="F15" s="300"/>
      <c r="G15" s="301" t="s">
        <v>271</v>
      </c>
      <c r="H15" s="301" t="s">
        <v>272</v>
      </c>
    </row>
    <row r="16" spans="1:8">
      <c r="A16" s="469" t="str">
        <f>A42</f>
        <v>I. Alépítményi munkák</v>
      </c>
      <c r="B16" s="469"/>
      <c r="C16" s="469"/>
      <c r="D16" s="469"/>
      <c r="E16" s="469"/>
      <c r="F16" s="469"/>
      <c r="G16" s="469"/>
      <c r="H16" s="469"/>
    </row>
    <row r="17" spans="1:8">
      <c r="A17" s="303">
        <v>1</v>
      </c>
      <c r="B17" s="470" t="str">
        <f>B44</f>
        <v>Földmunkák</v>
      </c>
      <c r="C17" s="470"/>
      <c r="D17" s="470"/>
      <c r="E17" s="460" t="s">
        <v>273</v>
      </c>
      <c r="F17" s="460"/>
      <c r="G17" s="303">
        <f>G47</f>
        <v>0</v>
      </c>
      <c r="H17" s="303">
        <f>H47</f>
        <v>0</v>
      </c>
    </row>
    <row r="18" spans="1:8">
      <c r="A18" s="303">
        <v>2</v>
      </c>
      <c r="B18" s="470" t="str">
        <f>B49</f>
        <v>Alapozási munkák</v>
      </c>
      <c r="C18" s="470"/>
      <c r="D18" s="470"/>
      <c r="E18" s="460" t="s">
        <v>273</v>
      </c>
      <c r="F18" s="460"/>
      <c r="G18" s="303">
        <f>G52</f>
        <v>0</v>
      </c>
      <c r="H18" s="303">
        <f>H52</f>
        <v>0</v>
      </c>
    </row>
    <row r="19" spans="1:8" ht="12.75" customHeight="1">
      <c r="A19" s="471" t="str">
        <f>A56</f>
        <v>II. Építési munkák</v>
      </c>
      <c r="B19" s="472"/>
      <c r="C19" s="472"/>
      <c r="D19" s="472"/>
      <c r="E19" s="304"/>
      <c r="F19" s="304"/>
      <c r="G19" s="304"/>
      <c r="H19" s="305"/>
    </row>
    <row r="20" spans="1:8">
      <c r="A20" s="303">
        <v>3</v>
      </c>
      <c r="B20" s="470" t="str">
        <f>B58</f>
        <v>Ácsmunka</v>
      </c>
      <c r="C20" s="470"/>
      <c r="D20" s="470"/>
      <c r="E20" s="460" t="s">
        <v>273</v>
      </c>
      <c r="F20" s="460"/>
      <c r="G20" s="303">
        <f>G62</f>
        <v>0</v>
      </c>
      <c r="H20" s="303">
        <f>H62</f>
        <v>0</v>
      </c>
    </row>
    <row r="21" spans="1:8" s="302" customFormat="1" ht="15.75" customHeight="1">
      <c r="A21" s="306"/>
      <c r="B21" s="307"/>
      <c r="C21" s="308"/>
      <c r="D21" s="309"/>
      <c r="E21" s="461" t="s">
        <v>274</v>
      </c>
      <c r="F21" s="462"/>
      <c r="G21" s="310">
        <f>SUM(G17:G20)</f>
        <v>0</v>
      </c>
      <c r="H21" s="310">
        <f>SUM(H17:H20)</f>
        <v>0</v>
      </c>
    </row>
    <row r="22" spans="1:8" ht="15.75">
      <c r="A22" s="292"/>
      <c r="B22" s="292"/>
      <c r="C22" s="295"/>
      <c r="D22" s="292"/>
      <c r="E22" s="292"/>
      <c r="F22" s="311" t="s">
        <v>275</v>
      </c>
      <c r="G22" s="311">
        <f>G21*0.27</f>
        <v>0</v>
      </c>
      <c r="H22" s="311">
        <f>H21*0.27</f>
        <v>0</v>
      </c>
    </row>
    <row r="23" spans="1:8" ht="12.75" customHeight="1">
      <c r="A23" s="292"/>
      <c r="B23" s="292"/>
      <c r="C23" s="295"/>
      <c r="D23" s="463" t="s">
        <v>276</v>
      </c>
      <c r="E23" s="463"/>
      <c r="F23" s="463"/>
      <c r="G23" s="311">
        <f>SUM(G21:G22)</f>
        <v>0</v>
      </c>
      <c r="H23" s="311">
        <f>SUM(H21:H22)</f>
        <v>0</v>
      </c>
    </row>
    <row r="24" spans="1:8">
      <c r="A24" s="464"/>
      <c r="B24" s="464"/>
      <c r="C24" s="464"/>
      <c r="D24" s="464"/>
      <c r="E24" s="464"/>
      <c r="F24" s="464"/>
      <c r="G24" s="464"/>
      <c r="H24" s="464"/>
    </row>
    <row r="25" spans="1:8">
      <c r="A25" s="464"/>
      <c r="B25" s="464"/>
      <c r="C25" s="464"/>
      <c r="D25" s="464"/>
      <c r="E25" s="464"/>
      <c r="F25" s="464"/>
      <c r="G25" s="464"/>
      <c r="H25" s="464"/>
    </row>
    <row r="26" spans="1:8">
      <c r="A26" s="292"/>
      <c r="B26" s="292"/>
      <c r="C26" s="295"/>
      <c r="D26" s="292"/>
      <c r="E26" s="292"/>
      <c r="F26" s="292"/>
      <c r="G26" s="292"/>
      <c r="H26" s="292"/>
    </row>
    <row r="27" spans="1:8">
      <c r="A27" s="292"/>
      <c r="B27" s="292"/>
      <c r="C27" s="295"/>
      <c r="D27" s="292"/>
      <c r="E27" s="292"/>
      <c r="F27" s="292"/>
      <c r="G27" s="292"/>
      <c r="H27" s="292"/>
    </row>
    <row r="28" spans="1:8" ht="25.5" customHeight="1">
      <c r="A28" s="464" t="s">
        <v>277</v>
      </c>
      <c r="B28" s="464"/>
      <c r="C28" s="295"/>
      <c r="D28" s="292"/>
      <c r="E28" s="292"/>
      <c r="F28" s="292"/>
      <c r="G28" s="292"/>
      <c r="H28" s="292"/>
    </row>
    <row r="29" spans="1:8">
      <c r="A29" s="292"/>
      <c r="B29" s="292"/>
      <c r="C29" s="295"/>
      <c r="D29" s="292"/>
      <c r="E29" s="292"/>
      <c r="F29" s="292"/>
      <c r="G29" s="292"/>
      <c r="H29" s="292"/>
    </row>
    <row r="30" spans="1:8">
      <c r="A30" s="292"/>
      <c r="B30" s="292" t="s">
        <v>278</v>
      </c>
      <c r="C30" s="295"/>
      <c r="D30" s="292"/>
      <c r="E30" s="292"/>
      <c r="F30" s="292"/>
      <c r="G30" s="292"/>
      <c r="H30" s="292"/>
    </row>
    <row r="31" spans="1:8">
      <c r="A31" s="292"/>
      <c r="B31" s="292" t="s">
        <v>279</v>
      </c>
      <c r="C31" s="295"/>
      <c r="D31" s="292"/>
      <c r="E31" s="292"/>
      <c r="F31" s="292"/>
      <c r="G31" s="292"/>
      <c r="H31" s="292"/>
    </row>
    <row r="32" spans="1:8">
      <c r="A32" s="292"/>
      <c r="B32" s="292" t="s">
        <v>280</v>
      </c>
      <c r="C32" s="295"/>
      <c r="D32" s="292"/>
      <c r="E32" s="292"/>
      <c r="F32" s="292"/>
      <c r="G32" s="292"/>
      <c r="H32" s="292"/>
    </row>
    <row r="33" spans="1:8">
      <c r="A33" s="292"/>
      <c r="B33" s="292" t="s">
        <v>281</v>
      </c>
      <c r="C33" s="295"/>
      <c r="D33" s="292"/>
      <c r="E33" s="292"/>
      <c r="F33" s="292"/>
      <c r="G33" s="292"/>
      <c r="H33" s="292"/>
    </row>
    <row r="34" spans="1:8">
      <c r="C34" s="295"/>
      <c r="D34" s="292"/>
      <c r="E34" s="292"/>
      <c r="F34" s="292"/>
      <c r="G34" s="292"/>
      <c r="H34" s="292"/>
    </row>
    <row r="35" spans="1:8">
      <c r="C35" s="295"/>
      <c r="D35" s="292"/>
      <c r="E35" s="292"/>
      <c r="F35" s="292"/>
      <c r="G35" s="292"/>
      <c r="H35" s="292"/>
    </row>
    <row r="36" spans="1:8">
      <c r="C36" s="295"/>
      <c r="D36" s="292"/>
      <c r="E36" s="292"/>
      <c r="F36" s="292"/>
      <c r="G36" s="292"/>
      <c r="H36" s="292"/>
    </row>
    <row r="37" spans="1:8">
      <c r="C37" s="295"/>
      <c r="D37" s="292"/>
      <c r="E37" s="292"/>
      <c r="F37" s="292"/>
      <c r="G37" s="292"/>
      <c r="H37" s="292"/>
    </row>
    <row r="38" spans="1:8">
      <c r="C38" s="295"/>
      <c r="D38" s="292"/>
      <c r="E38" s="292"/>
      <c r="F38" s="292"/>
      <c r="G38" s="292"/>
      <c r="H38" s="292"/>
    </row>
    <row r="39" spans="1:8">
      <c r="B39" s="465" t="s">
        <v>282</v>
      </c>
      <c r="C39" s="465"/>
      <c r="D39" s="465"/>
      <c r="E39" s="465"/>
      <c r="F39" s="465"/>
      <c r="G39" s="465"/>
      <c r="H39" s="292"/>
    </row>
    <row r="40" spans="1:8">
      <c r="A40" s="292"/>
      <c r="B40" s="292"/>
      <c r="C40" s="295"/>
      <c r="D40" s="292"/>
      <c r="E40" s="292"/>
      <c r="F40" s="292"/>
      <c r="G40" s="292"/>
      <c r="H40" s="292"/>
    </row>
    <row r="41" spans="1:8" s="316" customFormat="1" ht="13.5" thickBot="1">
      <c r="A41" s="313"/>
      <c r="B41" s="313"/>
      <c r="C41" s="314"/>
      <c r="D41" s="313"/>
      <c r="E41" s="315"/>
      <c r="F41" s="313"/>
      <c r="G41" s="313"/>
      <c r="H41" s="313"/>
    </row>
    <row r="42" spans="1:8" ht="16.5" thickBot="1">
      <c r="A42" s="466" t="s">
        <v>283</v>
      </c>
      <c r="B42" s="467"/>
      <c r="C42" s="467"/>
      <c r="D42" s="467"/>
      <c r="E42" s="467"/>
      <c r="F42" s="467"/>
      <c r="G42" s="467"/>
      <c r="H42" s="468"/>
    </row>
    <row r="43" spans="1:8" ht="25.5">
      <c r="A43" s="317" t="s">
        <v>284</v>
      </c>
      <c r="B43" s="318" t="s">
        <v>9</v>
      </c>
      <c r="C43" s="319" t="s">
        <v>285</v>
      </c>
      <c r="D43" s="318" t="s">
        <v>286</v>
      </c>
      <c r="E43" s="318" t="s">
        <v>287</v>
      </c>
      <c r="F43" s="318" t="s">
        <v>288</v>
      </c>
      <c r="G43" s="318" t="s">
        <v>271</v>
      </c>
      <c r="H43" s="318" t="s">
        <v>272</v>
      </c>
    </row>
    <row r="44" spans="1:8">
      <c r="A44" s="320" t="s">
        <v>93</v>
      </c>
      <c r="B44" s="448" t="s">
        <v>289</v>
      </c>
      <c r="C44" s="449"/>
      <c r="D44" s="321"/>
      <c r="E44" s="321"/>
      <c r="F44" s="322"/>
      <c r="G44" s="301"/>
      <c r="H44" s="301"/>
    </row>
    <row r="45" spans="1:8" ht="38.25">
      <c r="A45" s="323" t="s">
        <v>290</v>
      </c>
      <c r="B45" s="324" t="s">
        <v>291</v>
      </c>
      <c r="C45" s="325">
        <v>5</v>
      </c>
      <c r="D45" s="321" t="s">
        <v>21</v>
      </c>
      <c r="E45" s="301">
        <v>0</v>
      </c>
      <c r="F45" s="301">
        <v>0</v>
      </c>
      <c r="G45" s="301">
        <f>C45*E45</f>
        <v>0</v>
      </c>
      <c r="H45" s="301">
        <f>C45*F45</f>
        <v>0</v>
      </c>
    </row>
    <row r="46" spans="1:8" s="302" customFormat="1" ht="51">
      <c r="A46" s="326" t="s">
        <v>292</v>
      </c>
      <c r="B46" s="327" t="s">
        <v>293</v>
      </c>
      <c r="C46" s="328">
        <v>5</v>
      </c>
      <c r="D46" s="329" t="s">
        <v>21</v>
      </c>
      <c r="E46" s="329"/>
      <c r="F46" s="301">
        <v>0</v>
      </c>
      <c r="G46" s="301">
        <f>C46*E46</f>
        <v>0</v>
      </c>
      <c r="H46" s="301">
        <f>C46*F46</f>
        <v>0</v>
      </c>
    </row>
    <row r="47" spans="1:8">
      <c r="A47" s="321"/>
      <c r="B47" s="448" t="str">
        <f>B44</f>
        <v>Földmunkák</v>
      </c>
      <c r="C47" s="459"/>
      <c r="D47" s="449"/>
      <c r="E47" s="460" t="s">
        <v>273</v>
      </c>
      <c r="F47" s="460"/>
      <c r="G47" s="301">
        <f>SUM(G45:G46)</f>
        <v>0</v>
      </c>
      <c r="H47" s="301">
        <f>SUM(H45:H46)</f>
        <v>0</v>
      </c>
    </row>
    <row r="48" spans="1:8">
      <c r="A48" s="330"/>
      <c r="B48" s="331"/>
      <c r="C48" s="332"/>
      <c r="D48" s="333"/>
      <c r="E48" s="333"/>
      <c r="F48" s="333"/>
      <c r="G48" s="333"/>
      <c r="H48" s="333"/>
    </row>
    <row r="49" spans="1:8">
      <c r="A49" s="320" t="s">
        <v>94</v>
      </c>
      <c r="B49" s="448" t="s">
        <v>294</v>
      </c>
      <c r="C49" s="449"/>
      <c r="D49" s="321"/>
      <c r="E49" s="321"/>
      <c r="F49" s="322"/>
      <c r="G49" s="301"/>
      <c r="H49" s="301"/>
    </row>
    <row r="50" spans="1:8" ht="25.5">
      <c r="A50" s="323" t="s">
        <v>295</v>
      </c>
      <c r="B50" s="324" t="s">
        <v>296</v>
      </c>
      <c r="C50" s="325">
        <v>4</v>
      </c>
      <c r="D50" s="321" t="s">
        <v>297</v>
      </c>
      <c r="E50" s="301">
        <v>0</v>
      </c>
      <c r="F50" s="301">
        <v>0</v>
      </c>
      <c r="G50" s="301">
        <f>C50*E50</f>
        <v>0</v>
      </c>
      <c r="H50" s="301">
        <f>C50*F50</f>
        <v>0</v>
      </c>
    </row>
    <row r="51" spans="1:8" ht="38.25">
      <c r="A51" s="323" t="s">
        <v>295</v>
      </c>
      <c r="B51" s="324" t="s">
        <v>298</v>
      </c>
      <c r="C51" s="325">
        <v>3.4</v>
      </c>
      <c r="D51" s="321" t="s">
        <v>18</v>
      </c>
      <c r="E51" s="301">
        <v>0</v>
      </c>
      <c r="F51" s="301">
        <v>0</v>
      </c>
      <c r="G51" s="301">
        <f>C51*E51</f>
        <v>0</v>
      </c>
      <c r="H51" s="301">
        <f>C51*F51</f>
        <v>0</v>
      </c>
    </row>
    <row r="52" spans="1:8">
      <c r="A52" s="321"/>
      <c r="B52" s="448" t="str">
        <f>B49</f>
        <v>Alapozási munkák</v>
      </c>
      <c r="C52" s="459"/>
      <c r="D52" s="449"/>
      <c r="E52" s="460" t="s">
        <v>273</v>
      </c>
      <c r="F52" s="460"/>
      <c r="G52" s="301">
        <f>SUM(G51)</f>
        <v>0</v>
      </c>
      <c r="H52" s="301">
        <f>SUM(H51)</f>
        <v>0</v>
      </c>
    </row>
    <row r="53" spans="1:8">
      <c r="A53" s="330"/>
      <c r="B53" s="331"/>
      <c r="C53" s="332"/>
      <c r="D53" s="333"/>
      <c r="E53" s="333"/>
      <c r="F53" s="333"/>
      <c r="G53" s="333"/>
      <c r="H53" s="333"/>
    </row>
    <row r="54" spans="1:8" s="336" customFormat="1">
      <c r="A54" s="283"/>
      <c r="B54" s="331"/>
      <c r="C54" s="334"/>
      <c r="D54" s="331"/>
      <c r="E54" s="333"/>
      <c r="F54" s="333"/>
      <c r="G54" s="335"/>
      <c r="H54" s="335"/>
    </row>
    <row r="55" spans="1:8" ht="16.5" thickBot="1">
      <c r="B55" s="307"/>
      <c r="C55" s="308"/>
      <c r="D55" s="309"/>
      <c r="E55" s="337"/>
      <c r="F55" s="338"/>
      <c r="G55" s="339"/>
      <c r="H55" s="340"/>
    </row>
    <row r="56" spans="1:8" ht="16.5" thickBot="1">
      <c r="A56" s="466" t="s">
        <v>299</v>
      </c>
      <c r="B56" s="467"/>
      <c r="C56" s="467"/>
      <c r="D56" s="467"/>
      <c r="E56" s="467"/>
      <c r="F56" s="467"/>
      <c r="G56" s="467"/>
      <c r="H56" s="468"/>
    </row>
    <row r="57" spans="1:8" ht="25.5">
      <c r="A57" s="318" t="s">
        <v>284</v>
      </c>
      <c r="B57" s="318" t="s">
        <v>9</v>
      </c>
      <c r="C57" s="319" t="s">
        <v>285</v>
      </c>
      <c r="D57" s="318" t="s">
        <v>286</v>
      </c>
      <c r="E57" s="318" t="s">
        <v>287</v>
      </c>
      <c r="F57" s="318" t="s">
        <v>288</v>
      </c>
      <c r="G57" s="318" t="s">
        <v>271</v>
      </c>
      <c r="H57" s="318" t="s">
        <v>272</v>
      </c>
    </row>
    <row r="58" spans="1:8" s="302" customFormat="1">
      <c r="A58" s="320" t="s">
        <v>95</v>
      </c>
      <c r="B58" s="448" t="s">
        <v>300</v>
      </c>
      <c r="C58" s="449"/>
      <c r="D58" s="321"/>
      <c r="E58" s="321"/>
      <c r="F58" s="322"/>
      <c r="G58" s="301"/>
      <c r="H58" s="301"/>
    </row>
    <row r="59" spans="1:8" s="302" customFormat="1" ht="51">
      <c r="A59" s="323" t="s">
        <v>301</v>
      </c>
      <c r="B59" s="324" t="s">
        <v>302</v>
      </c>
      <c r="C59" s="325">
        <v>14</v>
      </c>
      <c r="D59" s="321" t="s">
        <v>18</v>
      </c>
      <c r="E59" s="301">
        <v>0</v>
      </c>
      <c r="F59" s="301">
        <v>0</v>
      </c>
      <c r="G59" s="301">
        <f>C59*E59</f>
        <v>0</v>
      </c>
      <c r="H59" s="301">
        <f>C59*F59</f>
        <v>0</v>
      </c>
    </row>
    <row r="60" spans="1:8" ht="38.25">
      <c r="A60" s="323" t="s">
        <v>303</v>
      </c>
      <c r="B60" s="341" t="s">
        <v>304</v>
      </c>
      <c r="C60" s="325">
        <v>2.4</v>
      </c>
      <c r="D60" s="321" t="s">
        <v>18</v>
      </c>
      <c r="E60" s="301">
        <v>0</v>
      </c>
      <c r="F60" s="301">
        <v>0</v>
      </c>
      <c r="G60" s="301">
        <f>C60*E60</f>
        <v>0</v>
      </c>
      <c r="H60" s="301">
        <f>C60*F60</f>
        <v>0</v>
      </c>
    </row>
    <row r="61" spans="1:8" ht="63.75">
      <c r="A61" s="323" t="s">
        <v>305</v>
      </c>
      <c r="B61" s="342" t="s">
        <v>306</v>
      </c>
      <c r="C61" s="325">
        <v>8.1999999999999993</v>
      </c>
      <c r="D61" s="321" t="s">
        <v>18</v>
      </c>
      <c r="E61" s="301">
        <v>0</v>
      </c>
      <c r="F61" s="301">
        <v>0</v>
      </c>
      <c r="G61" s="301">
        <f>C61*E61</f>
        <v>0</v>
      </c>
      <c r="H61" s="301">
        <f>C61*F61</f>
        <v>0</v>
      </c>
    </row>
    <row r="62" spans="1:8">
      <c r="A62" s="321"/>
      <c r="B62" s="448" t="str">
        <f>B58</f>
        <v>Ácsmunka</v>
      </c>
      <c r="C62" s="459"/>
      <c r="D62" s="449"/>
      <c r="E62" s="460" t="s">
        <v>273</v>
      </c>
      <c r="F62" s="460"/>
      <c r="G62" s="301">
        <f>SUM(G59:G61)</f>
        <v>0</v>
      </c>
      <c r="H62" s="301">
        <f>SUM(H59:H61)</f>
        <v>0</v>
      </c>
    </row>
    <row r="63" spans="1:8">
      <c r="A63" s="330"/>
      <c r="B63" s="331"/>
      <c r="C63" s="332"/>
      <c r="D63" s="333"/>
      <c r="E63" s="333"/>
      <c r="F63" s="333"/>
      <c r="G63" s="333"/>
      <c r="H63" s="333"/>
    </row>
    <row r="71" spans="1:10" ht="15.75">
      <c r="B71" s="307"/>
      <c r="C71" s="308"/>
      <c r="D71" s="309"/>
      <c r="E71" s="337"/>
      <c r="F71" s="338"/>
      <c r="G71" s="338"/>
    </row>
    <row r="72" spans="1:10" ht="15.75">
      <c r="B72" s="307"/>
      <c r="C72" s="308"/>
      <c r="D72" s="309"/>
      <c r="E72" s="337"/>
      <c r="F72" s="338"/>
      <c r="G72" s="338"/>
    </row>
    <row r="73" spans="1:10" ht="15.75">
      <c r="B73" s="307"/>
      <c r="C73" s="308"/>
      <c r="D73" s="309"/>
      <c r="E73" s="337"/>
      <c r="F73" s="338"/>
      <c r="G73" s="338"/>
    </row>
    <row r="74" spans="1:10" ht="15.75">
      <c r="B74" s="307"/>
      <c r="C74" s="308"/>
      <c r="D74" s="309"/>
      <c r="E74" s="337"/>
      <c r="F74" s="338"/>
      <c r="G74" s="338"/>
    </row>
    <row r="75" spans="1:10" ht="15.75">
      <c r="B75" s="307"/>
      <c r="C75" s="344"/>
      <c r="D75" s="309"/>
      <c r="E75" s="337"/>
      <c r="F75" s="338"/>
      <c r="G75" s="338"/>
    </row>
    <row r="76" spans="1:10" ht="15.75">
      <c r="B76" s="307"/>
      <c r="C76" s="308"/>
      <c r="D76" s="309"/>
      <c r="E76" s="337"/>
      <c r="F76" s="338"/>
      <c r="G76" s="338"/>
    </row>
    <row r="77" spans="1:10" ht="15.75">
      <c r="B77" s="307"/>
      <c r="C77" s="308"/>
      <c r="D77" s="309"/>
      <c r="E77" s="337"/>
      <c r="F77" s="338"/>
      <c r="G77" s="338"/>
    </row>
    <row r="78" spans="1:10" s="302" customFormat="1" ht="15.75">
      <c r="A78" s="306"/>
      <c r="B78" s="307"/>
      <c r="C78" s="308"/>
      <c r="D78" s="309"/>
      <c r="E78" s="345"/>
      <c r="F78" s="338"/>
      <c r="G78" s="338"/>
      <c r="H78" s="283"/>
    </row>
    <row r="79" spans="1:10" s="302" customFormat="1" ht="15.75">
      <c r="A79" s="306"/>
      <c r="B79" s="307"/>
      <c r="C79" s="308"/>
      <c r="D79" s="346"/>
      <c r="E79" s="347"/>
      <c r="F79" s="348"/>
      <c r="G79" s="349"/>
      <c r="H79" s="283"/>
      <c r="J79" s="330"/>
    </row>
    <row r="80" spans="1:10" s="302" customFormat="1" ht="15.75">
      <c r="A80" s="306"/>
      <c r="B80" s="307"/>
      <c r="C80" s="350"/>
      <c r="D80" s="351"/>
      <c r="E80" s="352"/>
      <c r="F80" s="348"/>
      <c r="G80" s="349"/>
      <c r="H80" s="283"/>
      <c r="J80" s="330"/>
    </row>
    <row r="81" spans="1:10" s="302" customFormat="1" ht="15.75">
      <c r="A81" s="306"/>
      <c r="B81" s="353"/>
      <c r="C81" s="350"/>
      <c r="D81" s="354"/>
      <c r="E81" s="352"/>
      <c r="F81" s="348"/>
      <c r="G81" s="349"/>
      <c r="H81" s="283"/>
      <c r="J81" s="330"/>
    </row>
    <row r="82" spans="1:10" s="302" customFormat="1" ht="18.75">
      <c r="A82" s="306"/>
      <c r="B82" s="353"/>
      <c r="C82" s="350"/>
      <c r="D82" s="354"/>
      <c r="E82" s="355"/>
      <c r="F82" s="356"/>
      <c r="G82" s="357"/>
      <c r="H82" s="283"/>
      <c r="J82" s="330"/>
    </row>
    <row r="83" spans="1:10" s="302" customFormat="1" ht="18.75">
      <c r="A83" s="306"/>
      <c r="B83" s="358"/>
      <c r="C83" s="359"/>
      <c r="D83" s="360"/>
      <c r="E83" s="355"/>
      <c r="F83" s="356"/>
      <c r="G83" s="357"/>
      <c r="H83" s="283"/>
    </row>
    <row r="84" spans="1:10" s="302" customFormat="1" ht="18.75">
      <c r="A84" s="306"/>
      <c r="B84" s="358"/>
      <c r="C84" s="359"/>
      <c r="D84" s="360"/>
      <c r="E84" s="337"/>
      <c r="F84" s="338"/>
      <c r="G84" s="338"/>
      <c r="H84" s="283"/>
      <c r="J84" s="330"/>
    </row>
    <row r="85" spans="1:10" s="302" customFormat="1" ht="96" customHeight="1">
      <c r="A85" s="306"/>
      <c r="B85" s="307"/>
      <c r="C85" s="361"/>
      <c r="D85" s="309"/>
      <c r="E85" s="352"/>
      <c r="F85" s="348"/>
      <c r="G85" s="349"/>
      <c r="H85" s="283"/>
    </row>
    <row r="86" spans="1:10" s="302" customFormat="1" ht="15.75">
      <c r="A86" s="306"/>
      <c r="B86" s="307"/>
      <c r="C86" s="344"/>
      <c r="D86" s="354"/>
      <c r="E86" s="337"/>
      <c r="F86" s="338"/>
      <c r="G86" s="338"/>
      <c r="H86" s="283"/>
    </row>
    <row r="87" spans="1:10" s="302" customFormat="1" ht="81.75" customHeight="1">
      <c r="A87" s="306"/>
      <c r="B87" s="307"/>
      <c r="C87" s="308"/>
      <c r="D87" s="309"/>
      <c r="E87" s="337"/>
      <c r="F87" s="338"/>
      <c r="G87" s="338"/>
      <c r="H87" s="283"/>
    </row>
    <row r="88" spans="1:10" s="302" customFormat="1" ht="15.75">
      <c r="A88" s="306"/>
      <c r="B88" s="307"/>
      <c r="C88" s="308"/>
      <c r="D88" s="309"/>
      <c r="E88" s="337"/>
      <c r="F88" s="338"/>
      <c r="G88" s="338"/>
      <c r="H88" s="283"/>
    </row>
    <row r="89" spans="1:10" ht="15.75">
      <c r="B89" s="307"/>
      <c r="C89" s="308"/>
      <c r="D89" s="309"/>
      <c r="E89" s="337"/>
      <c r="F89" s="338"/>
      <c r="G89" s="338"/>
      <c r="H89" s="283"/>
    </row>
    <row r="90" spans="1:10" ht="15.75">
      <c r="B90" s="307"/>
      <c r="C90" s="308"/>
      <c r="D90" s="309"/>
      <c r="E90" s="337"/>
      <c r="F90" s="338"/>
      <c r="G90" s="338"/>
      <c r="H90" s="283"/>
    </row>
    <row r="91" spans="1:10" ht="15.75">
      <c r="B91" s="307"/>
      <c r="C91" s="344"/>
      <c r="D91" s="309"/>
      <c r="E91" s="337"/>
      <c r="F91" s="338"/>
      <c r="G91" s="338"/>
      <c r="H91" s="283"/>
      <c r="J91" s="302"/>
    </row>
    <row r="92" spans="1:10" ht="15.75">
      <c r="B92" s="307"/>
      <c r="C92" s="308"/>
      <c r="D92" s="309"/>
      <c r="E92" s="345"/>
      <c r="F92" s="338"/>
      <c r="G92" s="338"/>
      <c r="H92" s="283"/>
      <c r="J92" s="302"/>
    </row>
    <row r="93" spans="1:10" ht="15.75">
      <c r="B93" s="307"/>
      <c r="C93" s="308"/>
      <c r="D93" s="346"/>
      <c r="E93" s="352"/>
      <c r="F93" s="348"/>
      <c r="G93" s="349"/>
      <c r="J93" s="302"/>
    </row>
    <row r="94" spans="1:10" ht="18.75">
      <c r="B94" s="353"/>
      <c r="C94" s="350"/>
      <c r="D94" s="354"/>
      <c r="E94" s="355"/>
      <c r="F94" s="356"/>
      <c r="G94" s="357"/>
      <c r="J94" s="302"/>
    </row>
    <row r="95" spans="1:10" ht="18.75">
      <c r="B95" s="358"/>
      <c r="C95" s="359"/>
      <c r="D95" s="360"/>
      <c r="E95" s="355"/>
      <c r="F95" s="356"/>
      <c r="G95" s="357"/>
      <c r="J95" s="302"/>
    </row>
    <row r="96" spans="1:10" ht="18.75">
      <c r="B96" s="358"/>
      <c r="C96" s="359"/>
      <c r="D96" s="360"/>
      <c r="E96" s="355"/>
      <c r="F96" s="356"/>
      <c r="G96" s="357"/>
      <c r="J96" s="302"/>
    </row>
    <row r="97" spans="1:11" ht="18.75">
      <c r="B97" s="358"/>
      <c r="C97" s="359"/>
      <c r="D97" s="360"/>
      <c r="J97" s="302"/>
    </row>
    <row r="98" spans="1:11">
      <c r="J98" s="302"/>
    </row>
    <row r="99" spans="1:11">
      <c r="J99" s="302"/>
    </row>
    <row r="100" spans="1:11">
      <c r="J100" s="302"/>
    </row>
    <row r="101" spans="1:11">
      <c r="J101" s="302"/>
    </row>
    <row r="102" spans="1:11">
      <c r="J102" s="302"/>
    </row>
    <row r="103" spans="1:11">
      <c r="J103" s="302"/>
    </row>
    <row r="104" spans="1:11" ht="12.75" customHeight="1"/>
    <row r="105" spans="1:11" ht="15.75">
      <c r="J105" s="330"/>
      <c r="K105" s="365"/>
    </row>
    <row r="108" spans="1:11" s="302" customFormat="1">
      <c r="A108" s="306"/>
      <c r="B108" s="312"/>
      <c r="C108" s="364"/>
      <c r="D108" s="343"/>
      <c r="E108" s="362"/>
      <c r="F108" s="363"/>
      <c r="G108" s="343"/>
      <c r="H108" s="343"/>
      <c r="J108" s="288"/>
    </row>
    <row r="111" spans="1:11">
      <c r="J111" s="302"/>
    </row>
    <row r="115" spans="1:11" s="302" customFormat="1">
      <c r="A115" s="306"/>
      <c r="B115" s="312"/>
      <c r="C115" s="364"/>
      <c r="D115" s="343"/>
      <c r="E115" s="362"/>
      <c r="F115" s="363"/>
      <c r="G115" s="343"/>
      <c r="H115" s="343"/>
      <c r="J115" s="288"/>
    </row>
    <row r="116" spans="1:11" ht="12.75" customHeight="1"/>
    <row r="118" spans="1:11" ht="15.75">
      <c r="J118" s="365"/>
      <c r="K118" s="366"/>
    </row>
    <row r="119" spans="1:11" ht="15.75">
      <c r="J119" s="365"/>
      <c r="K119" s="366"/>
    </row>
    <row r="120" spans="1:11" ht="15.75">
      <c r="J120" s="367"/>
      <c r="K120" s="368"/>
    </row>
    <row r="121" spans="1:11" ht="15.75">
      <c r="J121" s="367"/>
      <c r="K121" s="368"/>
    </row>
    <row r="122" spans="1:11" ht="15.75">
      <c r="J122" s="366"/>
      <c r="K122" s="365"/>
    </row>
    <row r="123" spans="1:11" ht="15.75">
      <c r="J123" s="366"/>
      <c r="K123" s="365"/>
    </row>
    <row r="124" spans="1:11" s="302" customFormat="1" ht="15.75">
      <c r="A124" s="306"/>
      <c r="B124" s="312"/>
      <c r="C124" s="364"/>
      <c r="D124" s="343"/>
      <c r="E124" s="362"/>
      <c r="F124" s="363"/>
      <c r="G124" s="343"/>
      <c r="H124" s="343"/>
      <c r="J124" s="367"/>
      <c r="K124" s="368"/>
    </row>
    <row r="125" spans="1:11" s="302" customFormat="1" ht="15.75">
      <c r="A125" s="306"/>
      <c r="B125" s="312"/>
      <c r="C125" s="364"/>
      <c r="D125" s="343"/>
      <c r="E125" s="362"/>
      <c r="F125" s="363"/>
      <c r="G125" s="343"/>
      <c r="H125" s="343"/>
      <c r="J125" s="330"/>
      <c r="K125" s="365"/>
    </row>
    <row r="126" spans="1:11" s="302" customFormat="1" ht="15.75">
      <c r="A126" s="306"/>
      <c r="B126" s="312"/>
      <c r="C126" s="364"/>
      <c r="D126" s="343"/>
      <c r="E126" s="362"/>
      <c r="F126" s="363"/>
      <c r="G126" s="343"/>
      <c r="H126" s="343"/>
      <c r="J126" s="330"/>
      <c r="K126" s="365"/>
    </row>
    <row r="127" spans="1:11" s="302" customFormat="1" ht="15.75">
      <c r="A127" s="306"/>
      <c r="B127" s="312"/>
      <c r="C127" s="364"/>
      <c r="D127" s="343"/>
      <c r="E127" s="362"/>
      <c r="F127" s="363"/>
      <c r="G127" s="343"/>
      <c r="H127" s="343"/>
      <c r="J127" s="330"/>
      <c r="K127" s="365"/>
    </row>
    <row r="128" spans="1:11" s="302" customFormat="1" ht="15.75">
      <c r="A128" s="306"/>
      <c r="B128" s="312"/>
      <c r="C128" s="364"/>
      <c r="D128" s="343"/>
      <c r="E128" s="362"/>
      <c r="F128" s="363"/>
      <c r="G128" s="343"/>
      <c r="H128" s="343"/>
      <c r="J128" s="330"/>
      <c r="K128" s="365"/>
    </row>
    <row r="129" spans="1:11" ht="15.75">
      <c r="J129" s="330"/>
      <c r="K129" s="365"/>
    </row>
    <row r="130" spans="1:11" ht="15.75" customHeight="1">
      <c r="J130" s="330"/>
      <c r="K130" s="365"/>
    </row>
    <row r="131" spans="1:11" ht="15.75">
      <c r="J131" s="330"/>
      <c r="K131" s="365"/>
    </row>
    <row r="132" spans="1:11" s="336" customFormat="1">
      <c r="A132" s="306"/>
      <c r="B132" s="312"/>
      <c r="C132" s="364"/>
      <c r="D132" s="343"/>
      <c r="E132" s="362"/>
      <c r="F132" s="363"/>
      <c r="G132" s="343"/>
      <c r="H132" s="343"/>
      <c r="J132" s="288"/>
      <c r="K132" s="288"/>
    </row>
    <row r="133" spans="1:11" s="336" customFormat="1">
      <c r="A133" s="306"/>
      <c r="B133" s="312"/>
      <c r="C133" s="364"/>
      <c r="D133" s="343"/>
      <c r="E133" s="362"/>
      <c r="F133" s="363"/>
      <c r="G133" s="343"/>
      <c r="H133" s="343"/>
      <c r="J133" s="288"/>
      <c r="K133" s="288"/>
    </row>
    <row r="134" spans="1:11" s="336" customFormat="1" ht="15.75" customHeight="1">
      <c r="A134" s="306"/>
      <c r="B134" s="312"/>
      <c r="C134" s="364"/>
      <c r="D134" s="343"/>
      <c r="E134" s="362"/>
      <c r="F134" s="363"/>
      <c r="G134" s="343"/>
      <c r="H134" s="343"/>
      <c r="J134" s="288"/>
      <c r="K134" s="288"/>
    </row>
    <row r="135" spans="1:11" s="336" customFormat="1" ht="15.75" customHeight="1">
      <c r="A135" s="306"/>
      <c r="B135" s="312"/>
      <c r="C135" s="364"/>
      <c r="D135" s="343"/>
      <c r="E135" s="362"/>
      <c r="F135" s="363"/>
      <c r="G135" s="343"/>
      <c r="H135" s="343"/>
      <c r="J135" s="288"/>
      <c r="K135" s="288"/>
    </row>
    <row r="140" spans="1:11" ht="15.75" customHeight="1"/>
    <row r="152" spans="10:11">
      <c r="J152" s="316"/>
    </row>
    <row r="153" spans="10:11" ht="15.75" customHeight="1">
      <c r="J153" s="316"/>
    </row>
    <row r="154" spans="10:11" ht="15.75" customHeight="1">
      <c r="J154" s="316"/>
    </row>
    <row r="155" spans="10:11">
      <c r="J155" s="316"/>
    </row>
    <row r="156" spans="10:11" ht="15.75" customHeight="1">
      <c r="J156" s="316"/>
    </row>
    <row r="157" spans="10:11" ht="15.75" customHeight="1">
      <c r="J157" s="316"/>
      <c r="K157" s="316"/>
    </row>
    <row r="158" spans="10:11" ht="15.75" customHeight="1">
      <c r="J158" s="316"/>
      <c r="K158" s="316"/>
    </row>
    <row r="159" spans="10:11">
      <c r="J159" s="316"/>
      <c r="K159" s="316"/>
    </row>
    <row r="160" spans="10:11" ht="15.75" customHeight="1">
      <c r="J160" s="316"/>
      <c r="K160" s="316"/>
    </row>
    <row r="161" spans="1:11">
      <c r="J161" s="316"/>
      <c r="K161" s="316"/>
    </row>
    <row r="162" spans="1:11">
      <c r="J162" s="316"/>
      <c r="K162" s="316"/>
    </row>
    <row r="163" spans="1:11">
      <c r="J163" s="316"/>
      <c r="K163" s="316"/>
    </row>
    <row r="164" spans="1:11">
      <c r="J164" s="316"/>
      <c r="K164" s="316"/>
    </row>
    <row r="165" spans="1:11">
      <c r="J165" s="316"/>
      <c r="K165" s="316"/>
    </row>
    <row r="166" spans="1:11">
      <c r="J166" s="316"/>
      <c r="K166" s="316"/>
    </row>
    <row r="167" spans="1:11">
      <c r="K167" s="316"/>
    </row>
    <row r="168" spans="1:11">
      <c r="K168" s="316"/>
    </row>
    <row r="169" spans="1:11">
      <c r="K169" s="316"/>
    </row>
    <row r="170" spans="1:11">
      <c r="K170" s="316"/>
    </row>
    <row r="171" spans="1:11">
      <c r="K171" s="316"/>
    </row>
    <row r="172" spans="1:11" s="316" customFormat="1">
      <c r="A172" s="306"/>
      <c r="B172" s="312"/>
      <c r="C172" s="364"/>
      <c r="D172" s="343"/>
      <c r="E172" s="362"/>
      <c r="F172" s="363"/>
      <c r="G172" s="343"/>
      <c r="H172" s="343"/>
      <c r="J172" s="288"/>
      <c r="K172" s="288"/>
    </row>
    <row r="173" spans="1:11" s="316" customFormat="1">
      <c r="A173" s="306"/>
      <c r="B173" s="312"/>
      <c r="C173" s="364"/>
      <c r="D173" s="343"/>
      <c r="E173" s="362"/>
      <c r="F173" s="363"/>
      <c r="G173" s="343"/>
      <c r="H173" s="343"/>
      <c r="J173" s="288"/>
      <c r="K173" s="288"/>
    </row>
    <row r="174" spans="1:11" s="316" customFormat="1">
      <c r="A174" s="306"/>
      <c r="B174" s="312"/>
      <c r="C174" s="364"/>
      <c r="D174" s="343"/>
      <c r="E174" s="362"/>
      <c r="F174" s="363"/>
      <c r="G174" s="343"/>
      <c r="H174" s="343"/>
      <c r="J174" s="288"/>
      <c r="K174" s="288"/>
    </row>
    <row r="175" spans="1:11" s="316" customFormat="1">
      <c r="A175" s="306"/>
      <c r="B175" s="312"/>
      <c r="C175" s="364"/>
      <c r="D175" s="343"/>
      <c r="E175" s="362"/>
      <c r="F175" s="363"/>
      <c r="G175" s="343"/>
      <c r="H175" s="343"/>
      <c r="J175" s="288"/>
      <c r="K175" s="288"/>
    </row>
    <row r="176" spans="1:11" s="316" customFormat="1">
      <c r="A176" s="306"/>
      <c r="B176" s="312"/>
      <c r="C176" s="364"/>
      <c r="D176" s="343"/>
      <c r="E176" s="362"/>
      <c r="F176" s="363"/>
      <c r="G176" s="343"/>
      <c r="H176" s="343"/>
      <c r="J176" s="288"/>
      <c r="K176" s="288"/>
    </row>
    <row r="177" spans="1:11" s="316" customFormat="1">
      <c r="A177" s="306"/>
      <c r="B177" s="312"/>
      <c r="C177" s="364"/>
      <c r="D177" s="343"/>
      <c r="E177" s="362"/>
      <c r="F177" s="363"/>
      <c r="G177" s="343"/>
      <c r="H177" s="343"/>
      <c r="J177" s="288"/>
      <c r="K177" s="288"/>
    </row>
    <row r="178" spans="1:11" s="316" customFormat="1">
      <c r="A178" s="306"/>
      <c r="B178" s="312"/>
      <c r="C178" s="364"/>
      <c r="D178" s="343"/>
      <c r="E178" s="362"/>
      <c r="F178" s="363"/>
      <c r="G178" s="343"/>
      <c r="H178" s="343"/>
      <c r="J178" s="288"/>
      <c r="K178" s="288"/>
    </row>
    <row r="179" spans="1:11" s="316" customFormat="1">
      <c r="A179" s="306"/>
      <c r="B179" s="312"/>
      <c r="C179" s="364"/>
      <c r="D179" s="343"/>
      <c r="E179" s="362"/>
      <c r="F179" s="363"/>
      <c r="G179" s="343"/>
      <c r="H179" s="343"/>
      <c r="J179" s="288"/>
      <c r="K179" s="288"/>
    </row>
    <row r="180" spans="1:11" s="316" customFormat="1">
      <c r="A180" s="306"/>
      <c r="B180" s="312"/>
      <c r="C180" s="364"/>
      <c r="D180" s="343"/>
      <c r="E180" s="362"/>
      <c r="F180" s="363"/>
      <c r="G180" s="343"/>
      <c r="H180" s="343"/>
      <c r="J180" s="288"/>
      <c r="K180" s="288"/>
    </row>
    <row r="181" spans="1:11" s="316" customFormat="1">
      <c r="A181" s="306"/>
      <c r="B181" s="312"/>
      <c r="C181" s="364"/>
      <c r="D181" s="343"/>
      <c r="E181" s="362"/>
      <c r="F181" s="363"/>
      <c r="G181" s="343"/>
      <c r="H181" s="343"/>
      <c r="J181" s="288"/>
      <c r="K181" s="288"/>
    </row>
    <row r="182" spans="1:11" s="316" customFormat="1">
      <c r="A182" s="306"/>
      <c r="B182" s="312"/>
      <c r="C182" s="364"/>
      <c r="D182" s="343"/>
      <c r="E182" s="362"/>
      <c r="F182" s="363"/>
      <c r="G182" s="343"/>
      <c r="H182" s="343"/>
      <c r="J182" s="288"/>
      <c r="K182" s="288"/>
    </row>
    <row r="183" spans="1:11" s="316" customFormat="1">
      <c r="A183" s="306"/>
      <c r="B183" s="312"/>
      <c r="C183" s="364"/>
      <c r="D183" s="343"/>
      <c r="E183" s="362"/>
      <c r="F183" s="363"/>
      <c r="G183" s="343"/>
      <c r="H183" s="343"/>
      <c r="J183" s="288"/>
      <c r="K183" s="288"/>
    </row>
    <row r="184" spans="1:11" s="316" customFormat="1">
      <c r="A184" s="306"/>
      <c r="B184" s="312"/>
      <c r="C184" s="364"/>
      <c r="D184" s="343"/>
      <c r="E184" s="362"/>
      <c r="F184" s="363"/>
      <c r="G184" s="343"/>
      <c r="H184" s="343"/>
      <c r="J184" s="288"/>
      <c r="K184" s="288"/>
    </row>
    <row r="185" spans="1:11" s="316" customFormat="1">
      <c r="A185" s="306"/>
      <c r="B185" s="312"/>
      <c r="C185" s="364"/>
      <c r="D185" s="343"/>
      <c r="E185" s="362"/>
      <c r="F185" s="363"/>
      <c r="G185" s="343"/>
      <c r="H185" s="343"/>
      <c r="J185" s="288"/>
      <c r="K185" s="288"/>
    </row>
    <row r="186" spans="1:11" s="316" customFormat="1">
      <c r="A186" s="306"/>
      <c r="B186" s="312"/>
      <c r="C186" s="364"/>
      <c r="D186" s="343"/>
      <c r="E186" s="362"/>
      <c r="F186" s="363"/>
      <c r="G186" s="343"/>
      <c r="H186" s="343"/>
      <c r="J186" s="288"/>
      <c r="K186" s="288"/>
    </row>
  </sheetData>
  <sheetProtection password="C70B" sheet="1" objects="1" scenarios="1"/>
  <protectedRanges>
    <protectedRange password="C70B" sqref="E45:F46 E50:F51 E59:F61" name="Tartomány1" securityDescriptor="O:WDG:WDD:(A;;CC;;;WD)"/>
  </protectedRanges>
  <mergeCells count="31">
    <mergeCell ref="B9:G9"/>
    <mergeCell ref="A2:H2"/>
    <mergeCell ref="B4:G4"/>
    <mergeCell ref="B5:G5"/>
    <mergeCell ref="B6:G7"/>
    <mergeCell ref="B8:G8"/>
    <mergeCell ref="A25:H25"/>
    <mergeCell ref="A16:H16"/>
    <mergeCell ref="B17:D17"/>
    <mergeCell ref="E17:F17"/>
    <mergeCell ref="B18:D18"/>
    <mergeCell ref="E18:F18"/>
    <mergeCell ref="A19:D19"/>
    <mergeCell ref="B20:D20"/>
    <mergeCell ref="E20:F20"/>
    <mergeCell ref="E21:F21"/>
    <mergeCell ref="D23:F23"/>
    <mergeCell ref="A24:H24"/>
    <mergeCell ref="B62:D62"/>
    <mergeCell ref="E62:F62"/>
    <mergeCell ref="A28:B28"/>
    <mergeCell ref="B39:G39"/>
    <mergeCell ref="A42:H42"/>
    <mergeCell ref="B44:C44"/>
    <mergeCell ref="B47:D47"/>
    <mergeCell ref="E47:F47"/>
    <mergeCell ref="B49:C49"/>
    <mergeCell ref="B52:D52"/>
    <mergeCell ref="E52:F52"/>
    <mergeCell ref="A56:H56"/>
    <mergeCell ref="B58:C58"/>
  </mergeCells>
  <pageMargins left="0.75" right="0.75" top="1" bottom="1" header="0.5" footer="0.5"/>
  <pageSetup paperSize="9" scale="88" orientation="portrait" horizontalDpi="4294967293" r:id="rId1"/>
  <headerFooter alignWithMargins="0"/>
  <rowBreaks count="1" manualBreakCount="1">
    <brk id="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5"/>
  <sheetViews>
    <sheetView tabSelected="1" view="pageBreakPreview" zoomScale="85" zoomScaleNormal="115" zoomScaleSheetLayoutView="85" workbookViewId="0">
      <selection activeCell="C27" sqref="C27"/>
    </sheetView>
  </sheetViews>
  <sheetFormatPr defaultRowHeight="15"/>
  <cols>
    <col min="1" max="1" width="4.28515625" style="412" customWidth="1"/>
    <col min="2" max="2" width="12" customWidth="1"/>
    <col min="3" max="3" width="37" customWidth="1"/>
    <col min="4" max="4" width="26.42578125" customWidth="1"/>
    <col min="5" max="5" width="6.85546875" style="219" customWidth="1"/>
    <col min="6" max="6" width="6.28515625" customWidth="1"/>
    <col min="7" max="7" width="7.5703125" customWidth="1"/>
    <col min="8" max="8" width="9.85546875" customWidth="1"/>
    <col min="10" max="10" width="13.5703125" customWidth="1"/>
    <col min="11" max="11" width="14.7109375" bestFit="1" customWidth="1"/>
    <col min="12" max="14" width="9.140625" style="258"/>
    <col min="15" max="15" width="12.7109375" style="258" customWidth="1"/>
    <col min="16" max="16" width="10.5703125" style="258" customWidth="1"/>
    <col min="17" max="17" width="10.85546875" style="391" customWidth="1"/>
    <col min="18" max="20" width="9.140625" style="258"/>
  </cols>
  <sheetData>
    <row r="3" spans="1:17">
      <c r="A3" s="413"/>
      <c r="B3" s="279"/>
      <c r="C3" s="279"/>
      <c r="D3" s="279"/>
      <c r="E3" s="398"/>
      <c r="F3" s="279"/>
      <c r="G3" s="279"/>
      <c r="H3" s="279"/>
    </row>
    <row r="4" spans="1:17">
      <c r="A4" s="399" t="s">
        <v>28</v>
      </c>
      <c r="B4" s="400" t="s">
        <v>368</v>
      </c>
      <c r="C4" s="401"/>
      <c r="D4" s="402"/>
      <c r="E4" s="397"/>
      <c r="F4" s="396"/>
      <c r="G4" s="396"/>
      <c r="H4" s="397"/>
    </row>
    <row r="5" spans="1:17">
      <c r="A5" s="413"/>
      <c r="B5" s="279"/>
      <c r="C5" s="279"/>
      <c r="D5" s="279"/>
      <c r="E5" s="398"/>
      <c r="F5" s="279"/>
      <c r="G5" s="279"/>
      <c r="H5" s="279"/>
    </row>
    <row r="6" spans="1:17" ht="15.75" thickBot="1"/>
    <row r="7" spans="1:17" ht="30.75" thickBot="1">
      <c r="A7" s="10" t="s">
        <v>48</v>
      </c>
      <c r="B7" s="11" t="s">
        <v>49</v>
      </c>
      <c r="C7" s="11" t="s">
        <v>50</v>
      </c>
      <c r="D7" s="11" t="s">
        <v>51</v>
      </c>
      <c r="E7" s="218" t="s">
        <v>52</v>
      </c>
      <c r="F7" s="481" t="s">
        <v>159</v>
      </c>
      <c r="G7" s="482"/>
      <c r="H7" s="11" t="s">
        <v>54</v>
      </c>
      <c r="I7" s="11" t="s">
        <v>55</v>
      </c>
      <c r="J7" s="13" t="s">
        <v>56</v>
      </c>
    </row>
    <row r="8" spans="1:17">
      <c r="A8" s="483" t="s">
        <v>34</v>
      </c>
      <c r="B8" s="484"/>
      <c r="C8" s="484"/>
      <c r="D8" s="484"/>
      <c r="E8" s="484"/>
      <c r="F8" s="484"/>
      <c r="G8" s="484"/>
      <c r="H8" s="484"/>
      <c r="I8" s="484"/>
      <c r="J8" s="485"/>
    </row>
    <row r="9" spans="1:17">
      <c r="A9" s="486"/>
      <c r="B9" s="480"/>
      <c r="C9" s="480"/>
      <c r="D9" s="480"/>
      <c r="E9" s="480"/>
      <c r="F9" s="480"/>
      <c r="G9" s="480"/>
      <c r="H9" s="480"/>
      <c r="I9" s="480"/>
      <c r="J9" s="487"/>
    </row>
    <row r="10" spans="1:17">
      <c r="A10" s="1">
        <v>1</v>
      </c>
      <c r="B10" s="2" t="s">
        <v>47</v>
      </c>
      <c r="C10" s="14" t="s">
        <v>33</v>
      </c>
      <c r="D10" s="14" t="s">
        <v>57</v>
      </c>
      <c r="E10" s="220">
        <v>5</v>
      </c>
      <c r="F10" s="3" t="s">
        <v>36</v>
      </c>
      <c r="G10" s="3" t="s">
        <v>37</v>
      </c>
      <c r="H10" s="225" t="s">
        <v>77</v>
      </c>
      <c r="I10" s="4">
        <v>0</v>
      </c>
      <c r="J10" s="5">
        <f>E10*I10</f>
        <v>0</v>
      </c>
      <c r="Q10" s="392"/>
    </row>
    <row r="11" spans="1:17">
      <c r="A11" s="1">
        <v>2</v>
      </c>
      <c r="B11" s="2" t="s">
        <v>181</v>
      </c>
      <c r="C11" s="204" t="s">
        <v>160</v>
      </c>
      <c r="D11" s="8" t="s">
        <v>35</v>
      </c>
      <c r="E11" s="220">
        <v>4</v>
      </c>
      <c r="F11" s="3" t="s">
        <v>36</v>
      </c>
      <c r="G11" s="3" t="s">
        <v>37</v>
      </c>
      <c r="H11" s="225" t="s">
        <v>77</v>
      </c>
      <c r="I11" s="4">
        <v>0</v>
      </c>
      <c r="J11" s="5">
        <f>E11*I11</f>
        <v>0</v>
      </c>
      <c r="Q11" s="392"/>
    </row>
    <row r="12" spans="1:17">
      <c r="A12" s="1">
        <v>3</v>
      </c>
      <c r="B12" s="2" t="s">
        <v>60</v>
      </c>
      <c r="C12" s="14" t="s">
        <v>58</v>
      </c>
      <c r="D12" s="14" t="s">
        <v>59</v>
      </c>
      <c r="E12" s="221">
        <v>2</v>
      </c>
      <c r="F12" s="3" t="s">
        <v>36</v>
      </c>
      <c r="G12" s="3" t="s">
        <v>37</v>
      </c>
      <c r="H12" s="226" t="s">
        <v>77</v>
      </c>
      <c r="I12" s="4">
        <v>0</v>
      </c>
      <c r="J12" s="5">
        <f t="shared" ref="J12:J24" si="0">E12*I12</f>
        <v>0</v>
      </c>
      <c r="Q12" s="393"/>
    </row>
    <row r="13" spans="1:17">
      <c r="A13" s="1">
        <v>4</v>
      </c>
      <c r="B13" s="2" t="s">
        <v>38</v>
      </c>
      <c r="C13" s="8" t="s">
        <v>39</v>
      </c>
      <c r="D13" s="8" t="s">
        <v>40</v>
      </c>
      <c r="E13" s="221">
        <v>2</v>
      </c>
      <c r="F13" s="6" t="s">
        <v>36</v>
      </c>
      <c r="G13" s="6" t="s">
        <v>37</v>
      </c>
      <c r="H13" s="227" t="s">
        <v>77</v>
      </c>
      <c r="I13" s="4">
        <v>0</v>
      </c>
      <c r="J13" s="7">
        <f t="shared" si="0"/>
        <v>0</v>
      </c>
      <c r="Q13" s="393"/>
    </row>
    <row r="14" spans="1:17">
      <c r="A14" s="1">
        <v>5</v>
      </c>
      <c r="B14" s="2" t="s">
        <v>63</v>
      </c>
      <c r="C14" s="8" t="s">
        <v>61</v>
      </c>
      <c r="D14" s="14" t="s">
        <v>62</v>
      </c>
      <c r="E14" s="221">
        <v>3</v>
      </c>
      <c r="F14" s="3" t="s">
        <v>36</v>
      </c>
      <c r="G14" s="3" t="s">
        <v>37</v>
      </c>
      <c r="H14" s="226" t="s">
        <v>77</v>
      </c>
      <c r="I14" s="4">
        <v>0</v>
      </c>
      <c r="J14" s="5">
        <f t="shared" si="0"/>
        <v>0</v>
      </c>
      <c r="Q14" s="393"/>
    </row>
    <row r="15" spans="1:17">
      <c r="A15" s="1">
        <v>6</v>
      </c>
      <c r="B15" s="2" t="s">
        <v>164</v>
      </c>
      <c r="C15" s="204" t="s">
        <v>182</v>
      </c>
      <c r="D15" s="14" t="s">
        <v>67</v>
      </c>
      <c r="E15" s="221">
        <v>3</v>
      </c>
      <c r="F15" s="3" t="s">
        <v>36</v>
      </c>
      <c r="G15" s="3" t="s">
        <v>37</v>
      </c>
      <c r="H15" s="226" t="s">
        <v>77</v>
      </c>
      <c r="I15" s="4">
        <v>0</v>
      </c>
      <c r="J15" s="5">
        <f>E15*I15</f>
        <v>0</v>
      </c>
      <c r="Q15" s="393"/>
    </row>
    <row r="16" spans="1:17">
      <c r="A16" s="1">
        <v>7</v>
      </c>
      <c r="B16" s="2" t="s">
        <v>41</v>
      </c>
      <c r="C16" s="8" t="s">
        <v>42</v>
      </c>
      <c r="D16" s="8" t="s">
        <v>43</v>
      </c>
      <c r="E16" s="221">
        <v>4</v>
      </c>
      <c r="F16" s="6" t="s">
        <v>36</v>
      </c>
      <c r="G16" s="6" t="s">
        <v>37</v>
      </c>
      <c r="H16" s="227" t="s">
        <v>77</v>
      </c>
      <c r="I16" s="4">
        <v>0</v>
      </c>
      <c r="J16" s="7">
        <f t="shared" si="0"/>
        <v>0</v>
      </c>
      <c r="Q16" s="393"/>
    </row>
    <row r="17" spans="1:17">
      <c r="A17" s="1">
        <v>8</v>
      </c>
      <c r="B17" s="2" t="s">
        <v>44</v>
      </c>
      <c r="C17" s="8" t="s">
        <v>45</v>
      </c>
      <c r="D17" s="8" t="s">
        <v>46</v>
      </c>
      <c r="E17" s="221">
        <v>6</v>
      </c>
      <c r="F17" s="6" t="s">
        <v>36</v>
      </c>
      <c r="G17" s="6" t="s">
        <v>37</v>
      </c>
      <c r="H17" s="227" t="s">
        <v>77</v>
      </c>
      <c r="I17" s="4">
        <v>0</v>
      </c>
      <c r="J17" s="7">
        <f t="shared" si="0"/>
        <v>0</v>
      </c>
      <c r="Q17" s="393"/>
    </row>
    <row r="18" spans="1:17">
      <c r="A18" s="1">
        <v>9</v>
      </c>
      <c r="B18" s="2" t="s">
        <v>91</v>
      </c>
      <c r="C18" s="204" t="s">
        <v>90</v>
      </c>
      <c r="D18" s="204" t="s">
        <v>92</v>
      </c>
      <c r="E18" s="221">
        <v>12</v>
      </c>
      <c r="F18" s="6" t="s">
        <v>36</v>
      </c>
      <c r="G18" s="6" t="s">
        <v>37</v>
      </c>
      <c r="H18" s="227" t="s">
        <v>77</v>
      </c>
      <c r="I18" s="4">
        <v>0</v>
      </c>
      <c r="J18" s="427">
        <f t="shared" si="0"/>
        <v>0</v>
      </c>
      <c r="Q18" s="393"/>
    </row>
    <row r="19" spans="1:17">
      <c r="A19" s="1">
        <v>10</v>
      </c>
      <c r="B19" s="2" t="s">
        <v>74</v>
      </c>
      <c r="C19" s="14" t="s">
        <v>75</v>
      </c>
      <c r="D19" s="14" t="s">
        <v>76</v>
      </c>
      <c r="E19" s="221">
        <v>2</v>
      </c>
      <c r="F19" s="6" t="s">
        <v>36</v>
      </c>
      <c r="G19" s="6" t="s">
        <v>37</v>
      </c>
      <c r="H19" s="15" t="s">
        <v>77</v>
      </c>
      <c r="I19" s="4">
        <v>0</v>
      </c>
      <c r="J19" s="7">
        <f t="shared" si="0"/>
        <v>0</v>
      </c>
      <c r="Q19" s="394"/>
    </row>
    <row r="20" spans="1:17">
      <c r="A20" s="1">
        <v>11</v>
      </c>
      <c r="B20" s="4" t="s">
        <v>163</v>
      </c>
      <c r="C20" s="228" t="s">
        <v>161</v>
      </c>
      <c r="D20" s="228" t="s">
        <v>162</v>
      </c>
      <c r="E20" s="220">
        <v>9</v>
      </c>
      <c r="F20" s="3" t="s">
        <v>36</v>
      </c>
      <c r="G20" s="3" t="s">
        <v>37</v>
      </c>
      <c r="H20" s="226" t="s">
        <v>77</v>
      </c>
      <c r="I20" s="4">
        <v>0</v>
      </c>
      <c r="J20" s="5">
        <f t="shared" si="0"/>
        <v>0</v>
      </c>
      <c r="Q20" s="393"/>
    </row>
    <row r="21" spans="1:17">
      <c r="A21" s="1">
        <v>12</v>
      </c>
      <c r="B21" s="2" t="s">
        <v>71</v>
      </c>
      <c r="C21" s="14" t="s">
        <v>72</v>
      </c>
      <c r="D21" s="14" t="s">
        <v>73</v>
      </c>
      <c r="E21" s="220">
        <v>3</v>
      </c>
      <c r="F21" s="3" t="s">
        <v>36</v>
      </c>
      <c r="G21" s="3" t="s">
        <v>37</v>
      </c>
      <c r="H21" s="226" t="s">
        <v>77</v>
      </c>
      <c r="I21" s="4">
        <v>0</v>
      </c>
      <c r="J21" s="5">
        <f t="shared" si="0"/>
        <v>0</v>
      </c>
      <c r="Q21" s="393"/>
    </row>
    <row r="22" spans="1:17">
      <c r="A22" s="1">
        <v>13</v>
      </c>
      <c r="B22" s="2" t="s">
        <v>64</v>
      </c>
      <c r="C22" s="14" t="s">
        <v>65</v>
      </c>
      <c r="D22" s="14" t="s">
        <v>66</v>
      </c>
      <c r="E22" s="221">
        <v>3</v>
      </c>
      <c r="F22" s="3" t="s">
        <v>36</v>
      </c>
      <c r="G22" s="3" t="s">
        <v>37</v>
      </c>
      <c r="H22" s="226" t="s">
        <v>77</v>
      </c>
      <c r="I22" s="4">
        <v>0</v>
      </c>
      <c r="J22" s="5">
        <f t="shared" si="0"/>
        <v>0</v>
      </c>
      <c r="Q22" s="393"/>
    </row>
    <row r="23" spans="1:17">
      <c r="A23" s="1">
        <v>14</v>
      </c>
      <c r="B23" s="4" t="s">
        <v>68</v>
      </c>
      <c r="C23" s="16" t="s">
        <v>69</v>
      </c>
      <c r="D23" s="16" t="s">
        <v>70</v>
      </c>
      <c r="E23" s="220">
        <v>16</v>
      </c>
      <c r="F23" s="3" t="s">
        <v>36</v>
      </c>
      <c r="G23" s="3" t="s">
        <v>37</v>
      </c>
      <c r="H23" s="226" t="s">
        <v>77</v>
      </c>
      <c r="I23" s="4">
        <v>0</v>
      </c>
      <c r="J23" s="5">
        <f t="shared" si="0"/>
        <v>0</v>
      </c>
      <c r="Q23" s="393"/>
    </row>
    <row r="24" spans="1:17">
      <c r="A24" s="3">
        <v>15</v>
      </c>
      <c r="B24" s="4" t="s">
        <v>88</v>
      </c>
      <c r="C24" s="203" t="s">
        <v>87</v>
      </c>
      <c r="D24" s="203" t="s">
        <v>89</v>
      </c>
      <c r="E24" s="222">
        <v>3</v>
      </c>
      <c r="F24" s="3" t="s">
        <v>36</v>
      </c>
      <c r="G24" s="3" t="s">
        <v>37</v>
      </c>
      <c r="H24" s="226" t="s">
        <v>77</v>
      </c>
      <c r="I24" s="4">
        <v>0</v>
      </c>
      <c r="J24" s="5">
        <f t="shared" si="0"/>
        <v>0</v>
      </c>
      <c r="Q24" s="393"/>
    </row>
    <row r="25" spans="1:17">
      <c r="E25" s="219">
        <f>SUM(E10:E24)</f>
        <v>77</v>
      </c>
      <c r="J25" s="224">
        <f>SUM(J10:J24)</f>
        <v>0</v>
      </c>
      <c r="K25" s="224"/>
    </row>
    <row r="28" spans="1:17" ht="16.5" customHeight="1" thickBot="1"/>
    <row r="29" spans="1:17">
      <c r="A29" s="483" t="s">
        <v>176</v>
      </c>
      <c r="B29" s="484"/>
      <c r="C29" s="484"/>
      <c r="D29" s="484"/>
      <c r="E29" s="484"/>
      <c r="F29" s="484"/>
      <c r="G29" s="484"/>
      <c r="H29" s="484"/>
      <c r="I29" s="484"/>
      <c r="J29" s="484"/>
    </row>
    <row r="30" spans="1:17" ht="15.75" thickBot="1">
      <c r="A30" s="488"/>
      <c r="B30" s="489"/>
      <c r="C30" s="489"/>
      <c r="D30" s="489"/>
      <c r="E30" s="489"/>
      <c r="F30" s="489"/>
      <c r="G30" s="489"/>
      <c r="H30" s="489"/>
      <c r="I30" s="489"/>
      <c r="J30" s="489"/>
    </row>
    <row r="31" spans="1:17" ht="15.75" thickBot="1">
      <c r="A31" s="414" t="s">
        <v>48</v>
      </c>
      <c r="B31" s="11" t="s">
        <v>49</v>
      </c>
      <c r="C31" s="11" t="s">
        <v>50</v>
      </c>
      <c r="D31" s="11" t="s">
        <v>51</v>
      </c>
      <c r="E31" s="12" t="s">
        <v>101</v>
      </c>
      <c r="F31" s="11" t="s">
        <v>136</v>
      </c>
      <c r="G31" s="11" t="s">
        <v>53</v>
      </c>
      <c r="H31" s="11" t="s">
        <v>54</v>
      </c>
      <c r="I31" s="11" t="s">
        <v>55</v>
      </c>
      <c r="J31" s="395" t="s">
        <v>56</v>
      </c>
    </row>
    <row r="32" spans="1:17">
      <c r="A32" s="216">
        <v>1</v>
      </c>
      <c r="B32" s="4" t="s">
        <v>104</v>
      </c>
      <c r="C32" s="4" t="s">
        <v>105</v>
      </c>
      <c r="D32" s="228" t="s">
        <v>106</v>
      </c>
      <c r="E32" s="3">
        <v>2</v>
      </c>
      <c r="F32" s="3">
        <f>116+40</f>
        <v>156</v>
      </c>
      <c r="G32" s="3" t="s">
        <v>102</v>
      </c>
      <c r="H32" s="3" t="s">
        <v>107</v>
      </c>
      <c r="I32" s="4">
        <v>0</v>
      </c>
      <c r="J32" s="203">
        <f>F32*I32</f>
        <v>0</v>
      </c>
    </row>
    <row r="33" spans="1:11">
      <c r="A33" s="214">
        <v>2</v>
      </c>
      <c r="B33" s="4" t="s">
        <v>108</v>
      </c>
      <c r="C33" s="4" t="s">
        <v>109</v>
      </c>
      <c r="D33" s="228" t="s">
        <v>110</v>
      </c>
      <c r="E33" s="3">
        <v>2</v>
      </c>
      <c r="F33" s="213">
        <f>42+117</f>
        <v>159</v>
      </c>
      <c r="G33" s="213" t="s">
        <v>102</v>
      </c>
      <c r="H33" s="214" t="s">
        <v>107</v>
      </c>
      <c r="I33" s="4">
        <v>0</v>
      </c>
      <c r="J33" s="203">
        <f>F33*I33</f>
        <v>0</v>
      </c>
    </row>
    <row r="34" spans="1:11">
      <c r="A34" s="216">
        <v>3</v>
      </c>
      <c r="B34" s="4" t="s">
        <v>111</v>
      </c>
      <c r="C34" s="16" t="s">
        <v>112</v>
      </c>
      <c r="D34" s="9" t="s">
        <v>113</v>
      </c>
      <c r="E34" s="270" t="s">
        <v>178</v>
      </c>
      <c r="F34" s="216">
        <f>63+198+24+150+206+71</f>
        <v>712</v>
      </c>
      <c r="G34" s="216" t="s">
        <v>102</v>
      </c>
      <c r="H34" s="216" t="s">
        <v>158</v>
      </c>
      <c r="I34" s="4">
        <v>0</v>
      </c>
      <c r="J34" s="203">
        <f t="shared" ref="J34:J38" si="1">F34*I34</f>
        <v>0</v>
      </c>
      <c r="K34" s="223"/>
    </row>
    <row r="35" spans="1:11">
      <c r="A35" s="214">
        <v>4</v>
      </c>
      <c r="B35" s="4" t="s">
        <v>114</v>
      </c>
      <c r="C35" s="217" t="s">
        <v>115</v>
      </c>
      <c r="D35" s="215" t="s">
        <v>116</v>
      </c>
      <c r="E35" s="3">
        <v>2</v>
      </c>
      <c r="F35" s="213">
        <f>79+77</f>
        <v>156</v>
      </c>
      <c r="G35" s="213" t="s">
        <v>102</v>
      </c>
      <c r="H35" s="3" t="s">
        <v>107</v>
      </c>
      <c r="I35" s="4">
        <v>0</v>
      </c>
      <c r="J35" s="203">
        <f t="shared" si="1"/>
        <v>0</v>
      </c>
    </row>
    <row r="36" spans="1:11">
      <c r="A36" s="216">
        <v>5</v>
      </c>
      <c r="B36" s="4" t="s">
        <v>118</v>
      </c>
      <c r="C36" s="9" t="s">
        <v>119</v>
      </c>
      <c r="D36" s="9" t="s">
        <v>120</v>
      </c>
      <c r="E36" s="3">
        <v>3</v>
      </c>
      <c r="F36" s="213">
        <f>127+81</f>
        <v>208</v>
      </c>
      <c r="G36" s="213" t="s">
        <v>102</v>
      </c>
      <c r="H36" s="213" t="s">
        <v>107</v>
      </c>
      <c r="I36" s="4">
        <v>0</v>
      </c>
      <c r="J36" s="203">
        <f t="shared" si="1"/>
        <v>0</v>
      </c>
    </row>
    <row r="37" spans="1:11">
      <c r="A37" s="214">
        <v>6</v>
      </c>
      <c r="B37" s="4" t="s">
        <v>169</v>
      </c>
      <c r="C37" s="16" t="s">
        <v>175</v>
      </c>
      <c r="D37" s="16" t="s">
        <v>168</v>
      </c>
      <c r="E37" s="3">
        <v>2</v>
      </c>
      <c r="F37" s="213">
        <f>169+106+47</f>
        <v>322</v>
      </c>
      <c r="G37" s="214" t="s">
        <v>102</v>
      </c>
      <c r="H37" s="216" t="s">
        <v>158</v>
      </c>
      <c r="I37" s="4">
        <v>0</v>
      </c>
      <c r="J37" s="203">
        <f t="shared" si="1"/>
        <v>0</v>
      </c>
    </row>
    <row r="38" spans="1:11">
      <c r="A38" s="216">
        <v>7</v>
      </c>
      <c r="B38" s="4" t="s">
        <v>128</v>
      </c>
      <c r="C38" s="16" t="s">
        <v>132</v>
      </c>
      <c r="D38" s="9" t="s">
        <v>127</v>
      </c>
      <c r="E38" s="3">
        <v>2</v>
      </c>
      <c r="F38" s="213">
        <f>71+42</f>
        <v>113</v>
      </c>
      <c r="G38" s="216" t="s">
        <v>102</v>
      </c>
      <c r="H38" s="216" t="s">
        <v>158</v>
      </c>
      <c r="I38" s="4">
        <v>0</v>
      </c>
      <c r="J38" s="203">
        <f t="shared" si="1"/>
        <v>0</v>
      </c>
    </row>
    <row r="39" spans="1:11">
      <c r="F39">
        <f>SUM(F32:F38)</f>
        <v>1826</v>
      </c>
      <c r="J39" s="240">
        <f>SUM(J32:J38)</f>
        <v>0</v>
      </c>
      <c r="K39" s="224"/>
    </row>
    <row r="40" spans="1:11" ht="15.75" thickBot="1"/>
    <row r="41" spans="1:11">
      <c r="A41" s="483" t="s">
        <v>126</v>
      </c>
      <c r="B41" s="484"/>
      <c r="C41" s="484"/>
      <c r="D41" s="484"/>
      <c r="E41" s="484"/>
      <c r="F41" s="484"/>
      <c r="G41" s="484"/>
      <c r="H41" s="484"/>
      <c r="I41" s="484"/>
      <c r="J41" s="484"/>
    </row>
    <row r="42" spans="1:11" ht="15.75" thickBot="1">
      <c r="A42" s="488"/>
      <c r="B42" s="489"/>
      <c r="C42" s="489"/>
      <c r="D42" s="489"/>
      <c r="E42" s="489"/>
      <c r="F42" s="489"/>
      <c r="G42" s="489"/>
      <c r="H42" s="489"/>
      <c r="I42" s="489"/>
      <c r="J42" s="489"/>
    </row>
    <row r="43" spans="1:11" ht="15.75" thickBot="1">
      <c r="A43" s="414" t="s">
        <v>48</v>
      </c>
      <c r="B43" s="11" t="s">
        <v>49</v>
      </c>
      <c r="C43" s="11" t="s">
        <v>50</v>
      </c>
      <c r="D43" s="11" t="s">
        <v>51</v>
      </c>
      <c r="E43" s="389" t="s">
        <v>101</v>
      </c>
      <c r="F43" s="11" t="s">
        <v>136</v>
      </c>
      <c r="G43" s="11" t="s">
        <v>53</v>
      </c>
      <c r="H43" s="11" t="s">
        <v>54</v>
      </c>
      <c r="I43" s="11" t="s">
        <v>55</v>
      </c>
      <c r="J43" s="395" t="s">
        <v>56</v>
      </c>
    </row>
    <row r="44" spans="1:11">
      <c r="A44" s="411">
        <v>1</v>
      </c>
      <c r="B44" s="403" t="s">
        <v>173</v>
      </c>
      <c r="C44" s="404" t="s">
        <v>172</v>
      </c>
      <c r="D44" s="404" t="s">
        <v>171</v>
      </c>
      <c r="E44" s="405">
        <v>4</v>
      </c>
      <c r="F44" s="405">
        <v>55</v>
      </c>
      <c r="G44" s="405" t="s">
        <v>102</v>
      </c>
      <c r="H44" s="405" t="s">
        <v>103</v>
      </c>
      <c r="I44" s="403">
        <v>0</v>
      </c>
      <c r="J44" s="203">
        <f t="shared" ref="J44:J49" si="2">F44*I44</f>
        <v>0</v>
      </c>
    </row>
    <row r="45" spans="1:11">
      <c r="A45" s="411">
        <v>2</v>
      </c>
      <c r="B45" s="403" t="s">
        <v>260</v>
      </c>
      <c r="C45" s="404" t="s">
        <v>177</v>
      </c>
      <c r="D45" s="404" t="s">
        <v>117</v>
      </c>
      <c r="E45" s="405">
        <v>4</v>
      </c>
      <c r="F45" s="405">
        <v>113</v>
      </c>
      <c r="G45" s="405" t="s">
        <v>102</v>
      </c>
      <c r="H45" s="405" t="s">
        <v>103</v>
      </c>
      <c r="I45" s="403">
        <v>0</v>
      </c>
      <c r="J45" s="203">
        <f t="shared" si="2"/>
        <v>0</v>
      </c>
    </row>
    <row r="46" spans="1:11">
      <c r="A46" s="411">
        <v>3</v>
      </c>
      <c r="B46" s="403" t="s">
        <v>121</v>
      </c>
      <c r="C46" s="404" t="s">
        <v>122</v>
      </c>
      <c r="D46" s="404" t="s">
        <v>170</v>
      </c>
      <c r="E46" s="405">
        <v>4</v>
      </c>
      <c r="F46" s="405">
        <v>194</v>
      </c>
      <c r="G46" s="405" t="s">
        <v>102</v>
      </c>
      <c r="H46" s="406" t="s">
        <v>107</v>
      </c>
      <c r="I46" s="403">
        <v>0</v>
      </c>
      <c r="J46" s="203">
        <f t="shared" si="2"/>
        <v>0</v>
      </c>
    </row>
    <row r="47" spans="1:11">
      <c r="A47" s="411">
        <v>4</v>
      </c>
      <c r="B47" s="403" t="s">
        <v>123</v>
      </c>
      <c r="C47" s="404" t="s">
        <v>124</v>
      </c>
      <c r="D47" s="404" t="s">
        <v>125</v>
      </c>
      <c r="E47" s="407" t="s">
        <v>178</v>
      </c>
      <c r="F47" s="405">
        <f>56+289+169</f>
        <v>514</v>
      </c>
      <c r="G47" s="405" t="s">
        <v>102</v>
      </c>
      <c r="H47" s="406" t="s">
        <v>107</v>
      </c>
      <c r="I47" s="403">
        <v>0</v>
      </c>
      <c r="J47" s="203">
        <f t="shared" si="2"/>
        <v>0</v>
      </c>
    </row>
    <row r="48" spans="1:11">
      <c r="A48" s="411">
        <v>5</v>
      </c>
      <c r="B48" s="403" t="s">
        <v>134</v>
      </c>
      <c r="C48" s="404" t="s">
        <v>129</v>
      </c>
      <c r="D48" s="404" t="s">
        <v>130</v>
      </c>
      <c r="E48" s="405">
        <v>6</v>
      </c>
      <c r="F48" s="405">
        <v>84</v>
      </c>
      <c r="G48" s="405" t="s">
        <v>102</v>
      </c>
      <c r="H48" s="405" t="s">
        <v>103</v>
      </c>
      <c r="I48" s="403">
        <v>0</v>
      </c>
      <c r="J48" s="203">
        <f t="shared" si="2"/>
        <v>0</v>
      </c>
    </row>
    <row r="49" spans="1:11">
      <c r="A49" s="411">
        <v>6</v>
      </c>
      <c r="B49" s="403" t="s">
        <v>135</v>
      </c>
      <c r="C49" s="404" t="s">
        <v>131</v>
      </c>
      <c r="D49" s="404" t="s">
        <v>133</v>
      </c>
      <c r="E49" s="405">
        <v>4</v>
      </c>
      <c r="F49" s="405">
        <v>56</v>
      </c>
      <c r="G49" s="405" t="s">
        <v>102</v>
      </c>
      <c r="H49" s="405" t="s">
        <v>103</v>
      </c>
      <c r="I49" s="403">
        <v>0</v>
      </c>
      <c r="J49" s="203">
        <f t="shared" si="2"/>
        <v>0</v>
      </c>
    </row>
    <row r="50" spans="1:11">
      <c r="F50">
        <f>SUM(F44:F49)</f>
        <v>1016</v>
      </c>
      <c r="J50" s="240">
        <f>SUM(J44:J49)</f>
        <v>0</v>
      </c>
      <c r="K50" s="240"/>
    </row>
    <row r="51" spans="1:11" ht="15.75" thickBot="1">
      <c r="B51" s="258"/>
      <c r="C51" s="259"/>
      <c r="D51" s="259"/>
      <c r="E51" s="260"/>
      <c r="F51" s="260"/>
      <c r="G51" s="260"/>
      <c r="H51" s="261"/>
      <c r="I51" s="260"/>
    </row>
    <row r="52" spans="1:11">
      <c r="A52" s="483" t="s">
        <v>369</v>
      </c>
      <c r="B52" s="484"/>
      <c r="C52" s="484"/>
      <c r="D52" s="484"/>
      <c r="E52" s="484"/>
      <c r="F52" s="484"/>
      <c r="G52" s="484"/>
      <c r="H52" s="484"/>
      <c r="I52" s="484"/>
      <c r="J52" s="484"/>
    </row>
    <row r="53" spans="1:11" ht="15.75" thickBot="1">
      <c r="A53" s="488"/>
      <c r="B53" s="489"/>
      <c r="C53" s="489"/>
      <c r="D53" s="489"/>
      <c r="E53" s="489"/>
      <c r="F53" s="489"/>
      <c r="G53" s="489"/>
      <c r="H53" s="489"/>
      <c r="I53" s="489"/>
      <c r="J53" s="489"/>
    </row>
    <row r="54" spans="1:11" ht="15.75" thickBot="1">
      <c r="A54" s="414" t="s">
        <v>48</v>
      </c>
      <c r="B54" s="11" t="s">
        <v>49</v>
      </c>
      <c r="C54" s="11" t="s">
        <v>50</v>
      </c>
      <c r="D54" s="11" t="s">
        <v>51</v>
      </c>
      <c r="E54" s="389" t="s">
        <v>101</v>
      </c>
      <c r="F54" s="11" t="s">
        <v>136</v>
      </c>
      <c r="G54" s="11" t="s">
        <v>53</v>
      </c>
      <c r="H54" s="11" t="s">
        <v>54</v>
      </c>
      <c r="I54" s="11" t="s">
        <v>55</v>
      </c>
      <c r="J54" s="13" t="s">
        <v>56</v>
      </c>
    </row>
    <row r="55" spans="1:11">
      <c r="A55" s="411">
        <v>1</v>
      </c>
      <c r="B55" s="4" t="s">
        <v>149</v>
      </c>
      <c r="C55" s="16" t="s">
        <v>137</v>
      </c>
      <c r="D55" s="16" t="s">
        <v>138</v>
      </c>
      <c r="E55" s="213">
        <v>7</v>
      </c>
      <c r="F55" s="213">
        <f>35+35+21+28</f>
        <v>119</v>
      </c>
      <c r="G55" s="213"/>
      <c r="H55" s="411" t="s">
        <v>174</v>
      </c>
      <c r="I55" s="213">
        <v>0</v>
      </c>
      <c r="J55" s="3">
        <f>F55*I55</f>
        <v>0</v>
      </c>
    </row>
    <row r="56" spans="1:11">
      <c r="A56" s="411">
        <v>2</v>
      </c>
      <c r="B56" s="4" t="s">
        <v>150</v>
      </c>
      <c r="C56" s="16" t="s">
        <v>139</v>
      </c>
      <c r="D56" s="16" t="s">
        <v>140</v>
      </c>
      <c r="E56" s="213">
        <v>9</v>
      </c>
      <c r="F56" s="213">
        <f>54+90+36+27</f>
        <v>207</v>
      </c>
      <c r="G56" s="213"/>
      <c r="H56" s="411" t="s">
        <v>174</v>
      </c>
      <c r="I56" s="213">
        <v>0</v>
      </c>
      <c r="J56" s="3">
        <f t="shared" ref="J56:J62" si="3">F56*I56</f>
        <v>0</v>
      </c>
    </row>
    <row r="57" spans="1:11">
      <c r="A57" s="411">
        <v>3</v>
      </c>
      <c r="B57" s="4" t="s">
        <v>156</v>
      </c>
      <c r="C57" s="16" t="s">
        <v>155</v>
      </c>
      <c r="D57" s="16" t="s">
        <v>157</v>
      </c>
      <c r="E57" s="213">
        <v>9</v>
      </c>
      <c r="F57" s="213">
        <f>45+90+45</f>
        <v>180</v>
      </c>
      <c r="G57" s="213"/>
      <c r="H57" s="411" t="s">
        <v>174</v>
      </c>
      <c r="I57" s="213">
        <v>0</v>
      </c>
      <c r="J57" s="3">
        <f t="shared" si="3"/>
        <v>0</v>
      </c>
    </row>
    <row r="58" spans="1:11">
      <c r="A58" s="411">
        <v>4</v>
      </c>
      <c r="B58" s="4" t="s">
        <v>151</v>
      </c>
      <c r="C58" s="16" t="s">
        <v>141</v>
      </c>
      <c r="D58" s="16" t="s">
        <v>142</v>
      </c>
      <c r="E58" s="213">
        <v>5</v>
      </c>
      <c r="F58" s="213">
        <f>30+45+10+10+20</f>
        <v>115</v>
      </c>
      <c r="G58" s="213"/>
      <c r="H58" s="411" t="s">
        <v>174</v>
      </c>
      <c r="I58" s="213">
        <v>0</v>
      </c>
      <c r="J58" s="3">
        <f t="shared" si="3"/>
        <v>0</v>
      </c>
    </row>
    <row r="59" spans="1:11">
      <c r="A59" s="411">
        <v>5</v>
      </c>
      <c r="B59" s="4" t="s">
        <v>152</v>
      </c>
      <c r="C59" s="16" t="s">
        <v>143</v>
      </c>
      <c r="D59" s="9" t="s">
        <v>144</v>
      </c>
      <c r="E59" s="213">
        <v>5</v>
      </c>
      <c r="F59" s="213">
        <f>40+40+70+50</f>
        <v>200</v>
      </c>
      <c r="G59" s="213"/>
      <c r="H59" s="411" t="s">
        <v>174</v>
      </c>
      <c r="I59" s="213">
        <v>0</v>
      </c>
      <c r="J59" s="3">
        <f t="shared" si="3"/>
        <v>0</v>
      </c>
    </row>
    <row r="60" spans="1:11">
      <c r="A60" s="411">
        <v>6</v>
      </c>
      <c r="B60" s="4" t="s">
        <v>153</v>
      </c>
      <c r="C60" s="16" t="s">
        <v>147</v>
      </c>
      <c r="D60" s="16" t="s">
        <v>148</v>
      </c>
      <c r="E60" s="213">
        <v>12</v>
      </c>
      <c r="F60" s="213">
        <f>88+60+120+120+72</f>
        <v>460</v>
      </c>
      <c r="G60" s="213"/>
      <c r="H60" s="411" t="s">
        <v>174</v>
      </c>
      <c r="I60" s="213">
        <v>0</v>
      </c>
      <c r="J60" s="3">
        <f t="shared" si="3"/>
        <v>0</v>
      </c>
    </row>
    <row r="61" spans="1:11">
      <c r="A61" s="411">
        <v>7</v>
      </c>
      <c r="B61" s="4" t="s">
        <v>370</v>
      </c>
      <c r="C61" s="228" t="s">
        <v>371</v>
      </c>
      <c r="D61" s="228" t="s">
        <v>372</v>
      </c>
      <c r="E61" s="213">
        <v>9</v>
      </c>
      <c r="F61" s="213">
        <f>135+45+90+90</f>
        <v>360</v>
      </c>
      <c r="G61" s="213"/>
      <c r="H61" s="411" t="s">
        <v>174</v>
      </c>
      <c r="I61" s="213">
        <v>0</v>
      </c>
      <c r="J61" s="3">
        <f t="shared" si="3"/>
        <v>0</v>
      </c>
    </row>
    <row r="62" spans="1:11">
      <c r="A62" s="411">
        <v>8</v>
      </c>
      <c r="B62" s="4" t="s">
        <v>154</v>
      </c>
      <c r="C62" s="16" t="s">
        <v>145</v>
      </c>
      <c r="D62" s="16" t="s">
        <v>146</v>
      </c>
      <c r="E62" s="213">
        <v>12</v>
      </c>
      <c r="F62" s="213">
        <f>60+120+24+24+48</f>
        <v>276</v>
      </c>
      <c r="G62" s="213"/>
      <c r="H62" s="411" t="s">
        <v>174</v>
      </c>
      <c r="I62" s="213">
        <v>0</v>
      </c>
      <c r="J62" s="3">
        <f t="shared" si="3"/>
        <v>0</v>
      </c>
    </row>
    <row r="63" spans="1:11">
      <c r="A63" s="413"/>
      <c r="B63" s="279"/>
      <c r="C63" s="279"/>
      <c r="D63" s="279"/>
      <c r="E63" s="398"/>
      <c r="F63" s="279"/>
      <c r="G63" s="279"/>
      <c r="H63" s="279"/>
      <c r="I63" s="279"/>
      <c r="J63" s="240">
        <f>SUM(J55:J62)</f>
        <v>0</v>
      </c>
      <c r="K63" s="240"/>
    </row>
    <row r="64" spans="1:11">
      <c r="A64" s="413"/>
      <c r="B64" s="279"/>
      <c r="C64" s="279"/>
      <c r="D64" s="279"/>
      <c r="E64" s="398"/>
      <c r="F64" s="279"/>
      <c r="G64" s="279"/>
      <c r="H64" s="279"/>
      <c r="I64" s="279"/>
      <c r="J64" s="279"/>
    </row>
    <row r="65" spans="1:10">
      <c r="A65" s="480"/>
      <c r="B65" s="480"/>
      <c r="C65" s="480"/>
      <c r="D65" s="480"/>
      <c r="E65" s="480"/>
      <c r="F65" s="480"/>
      <c r="G65" s="480"/>
      <c r="H65" s="480"/>
      <c r="I65" s="480"/>
      <c r="J65" s="480"/>
    </row>
    <row r="66" spans="1:10">
      <c r="A66" s="480"/>
      <c r="B66" s="480"/>
      <c r="C66" s="480"/>
      <c r="D66" s="480"/>
      <c r="E66" s="480"/>
      <c r="F66" s="480"/>
      <c r="G66" s="480"/>
      <c r="H66" s="480"/>
      <c r="I66" s="480"/>
      <c r="J66" s="480"/>
    </row>
    <row r="67" spans="1:10">
      <c r="A67" s="390"/>
      <c r="B67" s="390"/>
      <c r="C67" s="390"/>
      <c r="D67" s="390"/>
      <c r="E67" s="390"/>
      <c r="F67" s="390"/>
      <c r="G67" s="390"/>
      <c r="H67" s="390"/>
      <c r="I67" s="390"/>
      <c r="J67" s="390"/>
    </row>
    <row r="68" spans="1:10">
      <c r="A68" s="413"/>
      <c r="B68" s="258"/>
      <c r="C68" s="259"/>
      <c r="D68" s="408"/>
      <c r="E68" s="260"/>
      <c r="F68" s="260"/>
      <c r="G68" s="260"/>
      <c r="H68" s="261"/>
      <c r="I68" s="258"/>
      <c r="J68" s="279"/>
    </row>
    <row r="69" spans="1:10">
      <c r="A69" s="413"/>
      <c r="B69" s="258"/>
      <c r="C69" s="259"/>
      <c r="D69" s="259"/>
      <c r="E69" s="260"/>
      <c r="F69" s="260"/>
      <c r="G69" s="260"/>
      <c r="H69" s="261"/>
      <c r="I69" s="258"/>
      <c r="J69" s="279"/>
    </row>
    <row r="70" spans="1:10">
      <c r="A70" s="413"/>
      <c r="B70" s="258"/>
      <c r="C70" s="259"/>
      <c r="D70" s="259"/>
      <c r="E70" s="260"/>
      <c r="F70" s="260"/>
      <c r="G70" s="261"/>
      <c r="H70" s="261"/>
      <c r="I70" s="258"/>
      <c r="J70" s="279"/>
    </row>
    <row r="71" spans="1:10">
      <c r="A71" s="413"/>
      <c r="B71" s="258"/>
      <c r="C71" s="259"/>
      <c r="D71" s="408"/>
      <c r="E71" s="261"/>
      <c r="F71" s="261"/>
      <c r="G71" s="260"/>
      <c r="H71" s="261"/>
      <c r="I71" s="258"/>
      <c r="J71" s="279"/>
    </row>
    <row r="72" spans="1:10">
      <c r="A72" s="413"/>
      <c r="B72" s="258"/>
      <c r="C72" s="259"/>
      <c r="D72" s="408"/>
      <c r="E72" s="260"/>
      <c r="F72" s="260"/>
      <c r="G72" s="260"/>
      <c r="H72" s="409"/>
      <c r="I72" s="258"/>
      <c r="J72" s="279"/>
    </row>
    <row r="73" spans="1:10">
      <c r="A73" s="413"/>
      <c r="B73" s="258"/>
      <c r="C73" s="259"/>
      <c r="D73" s="408"/>
      <c r="E73" s="260"/>
      <c r="F73" s="260"/>
      <c r="G73" s="260"/>
      <c r="H73" s="261"/>
      <c r="I73" s="258"/>
      <c r="J73" s="279"/>
    </row>
    <row r="74" spans="1:10">
      <c r="A74" s="413"/>
      <c r="B74" s="258"/>
      <c r="C74" s="259"/>
      <c r="D74" s="259"/>
      <c r="E74" s="260"/>
      <c r="F74" s="260"/>
      <c r="G74" s="260"/>
      <c r="H74" s="409"/>
      <c r="I74" s="258"/>
      <c r="J74" s="279"/>
    </row>
    <row r="75" spans="1:10">
      <c r="A75" s="413"/>
      <c r="B75" s="258"/>
      <c r="C75" s="259"/>
      <c r="D75" s="408"/>
      <c r="E75" s="410"/>
      <c r="F75" s="260"/>
      <c r="G75" s="260"/>
      <c r="H75" s="409"/>
      <c r="I75" s="258"/>
      <c r="J75" s="279"/>
    </row>
    <row r="76" spans="1:10">
      <c r="A76" s="413"/>
      <c r="B76" s="258"/>
      <c r="C76" s="259"/>
      <c r="D76" s="408"/>
      <c r="E76" s="260"/>
      <c r="F76" s="260"/>
      <c r="G76" s="260"/>
      <c r="H76" s="261"/>
      <c r="I76" s="258"/>
      <c r="J76" s="279"/>
    </row>
    <row r="77" spans="1:10">
      <c r="A77" s="413"/>
      <c r="B77" s="258"/>
      <c r="C77" s="259"/>
      <c r="D77" s="259"/>
      <c r="E77" s="261"/>
      <c r="F77" s="261"/>
      <c r="G77" s="260"/>
      <c r="H77" s="261"/>
      <c r="I77" s="258"/>
      <c r="J77" s="279"/>
    </row>
    <row r="78" spans="1:10">
      <c r="A78" s="413"/>
      <c r="B78" s="279"/>
      <c r="C78" s="279"/>
      <c r="D78" s="279"/>
      <c r="E78" s="398"/>
      <c r="F78" s="279"/>
      <c r="G78" s="279"/>
      <c r="H78" s="279"/>
      <c r="I78" s="279"/>
      <c r="J78" s="279"/>
    </row>
    <row r="79" spans="1:10">
      <c r="A79" s="413"/>
      <c r="B79" s="279"/>
      <c r="C79" s="279"/>
      <c r="D79" s="279"/>
      <c r="E79" s="398"/>
      <c r="F79" s="279"/>
      <c r="G79" s="279"/>
      <c r="H79" s="279"/>
      <c r="I79" s="279"/>
      <c r="J79" s="279"/>
    </row>
    <row r="80" spans="1:10">
      <c r="A80" s="480"/>
      <c r="B80" s="480"/>
      <c r="C80" s="480"/>
      <c r="D80" s="480"/>
      <c r="E80" s="480"/>
      <c r="F80" s="480"/>
      <c r="G80" s="480"/>
      <c r="H80" s="480"/>
      <c r="I80" s="480"/>
      <c r="J80" s="480"/>
    </row>
    <row r="81" spans="1:10">
      <c r="A81" s="480"/>
      <c r="B81" s="480"/>
      <c r="C81" s="480"/>
      <c r="D81" s="480"/>
      <c r="E81" s="480"/>
      <c r="F81" s="480"/>
      <c r="G81" s="480"/>
      <c r="H81" s="480"/>
      <c r="I81" s="480"/>
      <c r="J81" s="480"/>
    </row>
    <row r="82" spans="1:10">
      <c r="A82" s="390"/>
      <c r="B82" s="390"/>
      <c r="C82" s="390"/>
      <c r="D82" s="390"/>
      <c r="E82" s="390"/>
      <c r="F82" s="390"/>
      <c r="G82" s="390"/>
      <c r="H82" s="390"/>
      <c r="I82" s="390"/>
      <c r="J82" s="390"/>
    </row>
    <row r="83" spans="1:10">
      <c r="A83" s="413"/>
      <c r="B83" s="258"/>
      <c r="C83" s="259"/>
      <c r="D83" s="259"/>
      <c r="E83" s="260"/>
      <c r="F83" s="260"/>
      <c r="G83" s="260"/>
      <c r="H83" s="261"/>
      <c r="I83" s="260"/>
      <c r="J83" s="279"/>
    </row>
    <row r="84" spans="1:10">
      <c r="A84" s="413"/>
      <c r="B84" s="258"/>
      <c r="C84" s="259"/>
      <c r="D84" s="259"/>
      <c r="E84" s="260"/>
      <c r="F84" s="260"/>
      <c r="G84" s="260"/>
      <c r="H84" s="261"/>
      <c r="I84" s="260"/>
      <c r="J84" s="279"/>
    </row>
    <row r="85" spans="1:10">
      <c r="A85" s="413"/>
      <c r="B85" s="258"/>
      <c r="C85" s="259"/>
      <c r="D85" s="259"/>
      <c r="E85" s="260"/>
      <c r="F85" s="260"/>
      <c r="G85" s="260"/>
      <c r="H85" s="261"/>
      <c r="I85" s="260"/>
      <c r="J85" s="258"/>
    </row>
    <row r="86" spans="1:10">
      <c r="A86" s="413"/>
      <c r="B86" s="258"/>
      <c r="C86" s="259"/>
      <c r="D86" s="259"/>
      <c r="E86" s="260"/>
      <c r="F86" s="260"/>
      <c r="G86" s="260"/>
      <c r="H86" s="261"/>
      <c r="I86" s="260"/>
      <c r="J86" s="279"/>
    </row>
    <row r="87" spans="1:10">
      <c r="A87" s="413"/>
      <c r="B87" s="258"/>
      <c r="C87" s="259"/>
      <c r="D87" s="408"/>
      <c r="E87" s="260"/>
      <c r="F87" s="260"/>
      <c r="G87" s="260"/>
      <c r="H87" s="261"/>
      <c r="I87" s="260"/>
      <c r="J87" s="279"/>
    </row>
    <row r="88" spans="1:10">
      <c r="A88" s="413"/>
      <c r="B88" s="258"/>
      <c r="C88" s="259"/>
      <c r="D88" s="259"/>
      <c r="E88" s="260"/>
      <c r="F88" s="260"/>
      <c r="G88" s="260"/>
      <c r="H88" s="261"/>
      <c r="I88" s="260"/>
      <c r="J88" s="279"/>
    </row>
    <row r="89" spans="1:10">
      <c r="A89" s="413"/>
      <c r="B89" s="258"/>
      <c r="C89" s="259"/>
      <c r="D89" s="259"/>
      <c r="E89" s="260"/>
      <c r="F89" s="260"/>
      <c r="G89" s="260"/>
      <c r="H89" s="261"/>
      <c r="I89" s="260"/>
      <c r="J89" s="279"/>
    </row>
    <row r="90" spans="1:10">
      <c r="A90" s="413"/>
      <c r="B90" s="279"/>
      <c r="C90" s="279"/>
      <c r="D90" s="279"/>
      <c r="E90" s="398"/>
      <c r="F90" s="279"/>
      <c r="G90" s="279"/>
      <c r="H90" s="279"/>
      <c r="I90" s="279"/>
      <c r="J90" s="279"/>
    </row>
    <row r="91" spans="1:10">
      <c r="A91" s="413"/>
      <c r="B91" s="279"/>
      <c r="C91" s="279"/>
      <c r="D91" s="279"/>
      <c r="E91" s="398"/>
      <c r="F91" s="279"/>
      <c r="G91" s="279"/>
      <c r="H91" s="279"/>
      <c r="I91" s="279"/>
      <c r="J91" s="279"/>
    </row>
    <row r="92" spans="1:10">
      <c r="A92" s="413"/>
      <c r="B92" s="279"/>
      <c r="C92" s="279"/>
      <c r="D92" s="279"/>
      <c r="E92" s="398"/>
      <c r="F92" s="279"/>
      <c r="G92" s="279"/>
      <c r="H92" s="279"/>
      <c r="I92" s="279"/>
      <c r="J92" s="279"/>
    </row>
    <row r="93" spans="1:10">
      <c r="A93" s="413"/>
      <c r="B93" s="279"/>
      <c r="C93" s="279"/>
      <c r="D93" s="279"/>
      <c r="E93" s="398"/>
      <c r="F93" s="279"/>
      <c r="G93" s="279"/>
      <c r="H93" s="279"/>
      <c r="I93" s="279"/>
      <c r="J93" s="279"/>
    </row>
    <row r="94" spans="1:10">
      <c r="A94" s="413"/>
      <c r="B94" s="279"/>
      <c r="C94" s="279"/>
      <c r="D94" s="279"/>
      <c r="E94" s="398"/>
      <c r="F94" s="279"/>
      <c r="G94" s="279"/>
      <c r="H94" s="279"/>
      <c r="I94" s="279"/>
      <c r="J94" s="279"/>
    </row>
    <row r="95" spans="1:10">
      <c r="A95" s="413"/>
      <c r="B95" s="279"/>
      <c r="C95" s="279"/>
      <c r="D95" s="279"/>
      <c r="E95" s="398"/>
      <c r="F95" s="279"/>
      <c r="G95" s="279"/>
      <c r="H95" s="279"/>
      <c r="I95" s="279"/>
      <c r="J95" s="279"/>
    </row>
    <row r="96" spans="1:10">
      <c r="A96" s="413"/>
      <c r="B96" s="279"/>
      <c r="C96" s="279"/>
      <c r="D96" s="279"/>
      <c r="E96" s="398"/>
      <c r="F96" s="279"/>
      <c r="G96" s="279"/>
      <c r="H96" s="279"/>
      <c r="I96" s="279"/>
      <c r="J96" s="279"/>
    </row>
    <row r="97" spans="1:10">
      <c r="A97" s="413"/>
      <c r="B97" s="279"/>
      <c r="C97" s="279"/>
      <c r="D97" s="279"/>
      <c r="E97" s="398"/>
      <c r="F97" s="279"/>
      <c r="G97" s="279"/>
      <c r="H97" s="279"/>
      <c r="I97" s="279"/>
      <c r="J97" s="279"/>
    </row>
    <row r="98" spans="1:10">
      <c r="A98" s="413"/>
      <c r="B98" s="279"/>
      <c r="C98" s="279"/>
      <c r="D98" s="279"/>
      <c r="E98" s="398"/>
      <c r="F98" s="279"/>
      <c r="G98" s="279"/>
      <c r="H98" s="279"/>
      <c r="I98" s="279"/>
      <c r="J98" s="279"/>
    </row>
    <row r="99" spans="1:10">
      <c r="A99" s="413"/>
      <c r="B99" s="279"/>
      <c r="C99" s="279"/>
      <c r="D99" s="279"/>
      <c r="E99" s="398"/>
      <c r="F99" s="279"/>
      <c r="G99" s="279"/>
      <c r="H99" s="279"/>
      <c r="I99" s="279"/>
      <c r="J99" s="279"/>
    </row>
    <row r="100" spans="1:10">
      <c r="A100" s="413"/>
      <c r="B100" s="279"/>
      <c r="C100" s="279"/>
      <c r="D100" s="279"/>
      <c r="E100" s="398"/>
      <c r="F100" s="279"/>
      <c r="G100" s="279"/>
      <c r="H100" s="279"/>
      <c r="I100" s="279"/>
      <c r="J100" s="279"/>
    </row>
    <row r="101" spans="1:10">
      <c r="A101" s="413"/>
      <c r="B101" s="279"/>
      <c r="C101" s="279"/>
      <c r="D101" s="279"/>
      <c r="E101" s="398"/>
      <c r="F101" s="279"/>
      <c r="G101" s="279"/>
      <c r="H101" s="279"/>
      <c r="I101" s="279"/>
      <c r="J101" s="279"/>
    </row>
    <row r="102" spans="1:10">
      <c r="A102" s="413"/>
      <c r="B102" s="279"/>
      <c r="C102" s="279"/>
      <c r="D102" s="279"/>
      <c r="E102" s="398"/>
      <c r="F102" s="279"/>
      <c r="G102" s="279"/>
      <c r="H102" s="279"/>
      <c r="I102" s="279"/>
      <c r="J102" s="279"/>
    </row>
    <row r="103" spans="1:10">
      <c r="A103" s="413"/>
      <c r="B103" s="279"/>
      <c r="C103" s="279"/>
      <c r="D103" s="279"/>
      <c r="E103" s="398"/>
      <c r="F103" s="279"/>
      <c r="G103" s="279"/>
      <c r="H103" s="279"/>
      <c r="I103" s="279"/>
      <c r="J103" s="279"/>
    </row>
    <row r="104" spans="1:10">
      <c r="A104" s="413"/>
      <c r="B104" s="279"/>
      <c r="C104" s="279"/>
      <c r="D104" s="279"/>
      <c r="E104" s="398"/>
      <c r="F104" s="279"/>
      <c r="G104" s="279"/>
      <c r="H104" s="279"/>
      <c r="I104" s="279"/>
      <c r="J104" s="279"/>
    </row>
    <row r="105" spans="1:10">
      <c r="A105" s="413"/>
      <c r="B105" s="279"/>
      <c r="C105" s="279"/>
      <c r="D105" s="279"/>
      <c r="E105" s="398"/>
      <c r="F105" s="279"/>
      <c r="G105" s="279"/>
      <c r="H105" s="279"/>
      <c r="I105" s="279"/>
      <c r="J105" s="279"/>
    </row>
  </sheetData>
  <sheetProtection password="C70B" sheet="1" objects="1" scenarios="1"/>
  <protectedRanges>
    <protectedRange password="C70B" sqref="I10:I24 I32:I38 I44:I49 I55:I62" name="Tartomány1" securityDescriptor="O:WDG:WDD:(A;;CC;;;WD)"/>
  </protectedRanges>
  <mergeCells count="7">
    <mergeCell ref="A80:J81"/>
    <mergeCell ref="A65:J66"/>
    <mergeCell ref="F7:G7"/>
    <mergeCell ref="A8:J9"/>
    <mergeCell ref="A29:J30"/>
    <mergeCell ref="A41:J42"/>
    <mergeCell ref="A52:J5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27" max="9" man="1"/>
  </rowBreaks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összesítő</vt:lpstr>
      <vt:lpstr>KIV_körny_I_Ütem</vt:lpstr>
      <vt:lpstr>ELETROMOS</vt:lpstr>
      <vt:lpstr>VÍZ</vt:lpstr>
      <vt:lpstr>STÉG</vt:lpstr>
      <vt:lpstr>Terv._Növ_I_ütem</vt:lpstr>
      <vt:lpstr>VÍZ!Nyomtatási_cím</vt:lpstr>
      <vt:lpstr>KIV_körny_I_Ütem!Nyomtatási_terület</vt:lpstr>
      <vt:lpstr>STÉG!Nyomtatási_terület</vt:lpstr>
      <vt:lpstr>Terv._Növ_I_ütem!Nyomtatási_terület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</dc:creator>
  <cp:lastModifiedBy>Slezák Judit</cp:lastModifiedBy>
  <cp:lastPrinted>2017-06-13T10:53:58Z</cp:lastPrinted>
  <dcterms:created xsi:type="dcterms:W3CDTF">2017-01-04T11:06:25Z</dcterms:created>
  <dcterms:modified xsi:type="dcterms:W3CDTF">2017-07-04T12:31:20Z</dcterms:modified>
</cp:coreProperties>
</file>